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minimized="1" xWindow="-120" yWindow="-120" windowWidth="29040" windowHeight="15990"/>
  </bookViews>
  <sheets>
    <sheet name="Лист1" sheetId="1" r:id="rId1"/>
    <sheet name="Лист2" sheetId="2" r:id="rId2"/>
  </sheets>
  <definedNames>
    <definedName name="_xlnm._FilterDatabase" localSheetId="0" hidden="1">Лист1!$A$1:$M$853</definedName>
    <definedName name="_xlnm.Print_Titles" localSheetId="1">Лист2!$9:$9</definedName>
    <definedName name="_xlnm.Print_Area" localSheetId="0">Лист1!$A$1:$L$867</definedName>
  </definedNames>
  <calcPr calcId="162913"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821" i="1" l="1"/>
  <c r="H821" i="1"/>
  <c r="H76" i="1"/>
  <c r="H75" i="1"/>
  <c r="H69" i="1"/>
  <c r="H84" i="1"/>
  <c r="G821" i="1"/>
  <c r="G159" i="1"/>
  <c r="G158" i="1"/>
  <c r="G157" i="1"/>
  <c r="G156" i="1"/>
  <c r="G86" i="1"/>
  <c r="G85" i="1"/>
  <c r="G84" i="1"/>
  <c r="G74" i="1"/>
  <c r="G83" i="1"/>
  <c r="G699" i="1" l="1"/>
  <c r="G168" i="1"/>
  <c r="G167" i="1"/>
  <c r="G166" i="1"/>
  <c r="H230" i="1"/>
  <c r="F853" i="1"/>
  <c r="H450" i="1"/>
  <c r="H542" i="1"/>
  <c r="E542" i="1"/>
  <c r="H239" i="1"/>
  <c r="E157" i="1"/>
  <c r="H850" i="1" l="1"/>
  <c r="H248" i="1"/>
  <c r="G542" i="1"/>
  <c r="H487" i="1"/>
  <c r="I542" i="1" l="1"/>
  <c r="G839" i="1"/>
  <c r="H267" i="1"/>
  <c r="H102" i="1"/>
  <c r="H185" i="1"/>
  <c r="H240" i="1"/>
  <c r="H830" i="1"/>
  <c r="G831" i="1"/>
  <c r="G832" i="1"/>
  <c r="G841" i="1"/>
  <c r="G840" i="1"/>
  <c r="G830" i="1"/>
  <c r="H662" i="1"/>
  <c r="G849" i="1" l="1"/>
  <c r="H287" i="1" l="1"/>
  <c r="H241" i="1"/>
  <c r="H773" i="1" l="1"/>
  <c r="G77" i="1" l="1"/>
  <c r="F852" i="1"/>
  <c r="F851" i="1"/>
  <c r="F850" i="1"/>
  <c r="J852" i="1"/>
  <c r="J851" i="1"/>
  <c r="H841" i="1" l="1"/>
  <c r="H840" i="1"/>
  <c r="G616" i="1"/>
  <c r="G838" i="1"/>
  <c r="G829" i="1"/>
  <c r="G150" i="1"/>
  <c r="G149" i="1"/>
  <c r="H202" i="1" l="1"/>
  <c r="H193" i="1"/>
  <c r="E780" i="1" l="1"/>
  <c r="E771" i="1"/>
  <c r="J850" i="1" l="1"/>
  <c r="H829" i="1"/>
  <c r="H820" i="1"/>
  <c r="H819" i="1"/>
  <c r="E800" i="1"/>
  <c r="H811" i="1"/>
  <c r="H810" i="1"/>
  <c r="H809" i="1"/>
  <c r="H789" i="1"/>
  <c r="H196" i="1"/>
  <c r="H663" i="1"/>
  <c r="H664" i="1"/>
  <c r="H195" i="1"/>
  <c r="H194" i="1"/>
  <c r="H717" i="1"/>
  <c r="I690" i="1"/>
  <c r="I689" i="1"/>
  <c r="I617" i="1"/>
  <c r="I618" i="1"/>
  <c r="I852" i="1" s="1"/>
  <c r="I616" i="1"/>
  <c r="H616" i="1" s="1"/>
  <c r="H497" i="1"/>
  <c r="H415" i="1"/>
  <c r="H414" i="1"/>
  <c r="G378" i="1"/>
  <c r="G377" i="1"/>
  <c r="H360" i="1"/>
  <c r="H359" i="1"/>
  <c r="H358" i="1"/>
  <c r="H351" i="1"/>
  <c r="H350" i="1"/>
  <c r="H349" i="1"/>
  <c r="H342" i="1"/>
  <c r="H340" i="1"/>
  <c r="H341" i="1"/>
  <c r="G333" i="1"/>
  <c r="G332" i="1"/>
  <c r="G331" i="1"/>
  <c r="G324" i="1"/>
  <c r="G323" i="1"/>
  <c r="G322" i="1"/>
  <c r="G315" i="1"/>
  <c r="G314" i="1"/>
  <c r="G313" i="1"/>
  <c r="H232" i="1"/>
  <c r="H286" i="1"/>
  <c r="H231" i="1" s="1"/>
  <c r="H285" i="1"/>
  <c r="H260" i="1"/>
  <c r="H259" i="1"/>
  <c r="H671" i="1"/>
  <c r="G852" i="1" l="1"/>
  <c r="I851" i="1"/>
  <c r="I850" i="1"/>
  <c r="J138" i="1"/>
  <c r="G165" i="1"/>
  <c r="G92" i="1"/>
  <c r="J220" i="1" l="1"/>
  <c r="G716" i="1" l="1"/>
  <c r="I716" i="1"/>
  <c r="G707" i="1"/>
  <c r="I707" i="1"/>
  <c r="H707" i="1"/>
  <c r="H486" i="1" l="1"/>
  <c r="H156" i="1" l="1"/>
  <c r="H412" i="1"/>
  <c r="H643" i="1"/>
  <c r="H762" i="1" l="1"/>
  <c r="H716" i="1"/>
  <c r="G698" i="1"/>
  <c r="H661" i="1"/>
  <c r="F624" i="1"/>
  <c r="F849" i="1" s="1"/>
  <c r="H449" i="1"/>
  <c r="G376" i="1"/>
  <c r="H357" i="1"/>
  <c r="H348" i="1"/>
  <c r="H184" i="1"/>
  <c r="H83" i="1" l="1"/>
  <c r="H74" i="1" s="1"/>
  <c r="H47" i="1" l="1"/>
  <c r="H293" i="1" l="1"/>
  <c r="H838" i="1"/>
  <c r="I688" i="1"/>
  <c r="H688" i="1" l="1"/>
  <c r="H753" i="1" l="1"/>
  <c r="E756" i="1"/>
  <c r="E755" i="1"/>
  <c r="E754" i="1"/>
  <c r="E753" i="1"/>
  <c r="E752" i="1"/>
  <c r="E751" i="1"/>
  <c r="E750" i="1"/>
  <c r="E749" i="1"/>
  <c r="E748" i="1"/>
  <c r="E747" i="1"/>
  <c r="E746" i="1"/>
  <c r="E745" i="1"/>
  <c r="E744" i="1"/>
  <c r="E743" i="1"/>
  <c r="E742" i="1"/>
  <c r="E741" i="1"/>
  <c r="E740" i="1"/>
  <c r="E739" i="1"/>
  <c r="H82" i="1" l="1"/>
  <c r="H339" i="1"/>
  <c r="H670" i="1" l="1"/>
  <c r="H238" i="1"/>
  <c r="H229" i="1" s="1"/>
  <c r="E670" i="1" l="1"/>
  <c r="G615" i="1" l="1"/>
  <c r="I615" i="1"/>
  <c r="H615" i="1" l="1"/>
  <c r="H77" i="1" l="1"/>
  <c r="H149" i="1"/>
  <c r="H150" i="1"/>
  <c r="H148" i="1"/>
  <c r="M238" i="1"/>
  <c r="E765" i="1" l="1"/>
  <c r="E764" i="1"/>
  <c r="E763" i="1"/>
  <c r="E762" i="1"/>
  <c r="E761" i="1"/>
  <c r="E760" i="1"/>
  <c r="E759" i="1"/>
  <c r="E758" i="1"/>
  <c r="E757" i="1"/>
  <c r="H691" i="1" l="1"/>
  <c r="E691" i="1" s="1"/>
  <c r="H618" i="1"/>
  <c r="E64" i="1"/>
  <c r="E50" i="1"/>
  <c r="E41" i="1"/>
  <c r="E28" i="1"/>
  <c r="F842" i="1"/>
  <c r="E728" i="1"/>
  <c r="E719" i="1"/>
  <c r="E710" i="1"/>
  <c r="E701" i="1"/>
  <c r="E682" i="1"/>
  <c r="E673" i="1"/>
  <c r="E664" i="1"/>
  <c r="E655" i="1"/>
  <c r="E646" i="1"/>
  <c r="E636" i="1"/>
  <c r="E627" i="1"/>
  <c r="E609" i="1"/>
  <c r="E599" i="1"/>
  <c r="E590" i="1"/>
  <c r="E580" i="1"/>
  <c r="E571" i="1"/>
  <c r="E562" i="1"/>
  <c r="E553" i="1"/>
  <c r="E544" i="1"/>
  <c r="E534" i="1"/>
  <c r="E525" i="1"/>
  <c r="E516" i="1"/>
  <c r="E507" i="1"/>
  <c r="E498" i="1"/>
  <c r="E489" i="1"/>
  <c r="E479" i="1"/>
  <c r="E470" i="1"/>
  <c r="E461" i="1"/>
  <c r="E452" i="1"/>
  <c r="E443" i="1"/>
  <c r="E434" i="1"/>
  <c r="E425" i="1"/>
  <c r="E415" i="1"/>
  <c r="E406" i="1"/>
  <c r="E397" i="1"/>
  <c r="E388" i="1"/>
  <c r="E379" i="1"/>
  <c r="E370" i="1"/>
  <c r="E360" i="1"/>
  <c r="E351" i="1"/>
  <c r="E342" i="1"/>
  <c r="E333" i="1"/>
  <c r="E324" i="1"/>
  <c r="E315" i="1"/>
  <c r="E305" i="1"/>
  <c r="E296" i="1"/>
  <c r="E287" i="1"/>
  <c r="E278" i="1"/>
  <c r="E269" i="1"/>
  <c r="E260" i="1"/>
  <c r="E251" i="1"/>
  <c r="E241" i="1"/>
  <c r="E232" i="1"/>
  <c r="E223" i="1"/>
  <c r="E214" i="1"/>
  <c r="E205" i="1"/>
  <c r="E196" i="1"/>
  <c r="E187" i="1"/>
  <c r="E177" i="1"/>
  <c r="E168" i="1"/>
  <c r="E159" i="1"/>
  <c r="E150" i="1"/>
  <c r="E141" i="1"/>
  <c r="E132" i="1"/>
  <c r="E123" i="1"/>
  <c r="E113" i="1"/>
  <c r="E104" i="1"/>
  <c r="E95" i="1"/>
  <c r="E86" i="1"/>
  <c r="E77" i="1"/>
  <c r="G65" i="1"/>
  <c r="H65" i="1"/>
  <c r="I65" i="1"/>
  <c r="J65" i="1"/>
  <c r="F65" i="1"/>
  <c r="J51" i="1"/>
  <c r="I51" i="1"/>
  <c r="H51" i="1"/>
  <c r="G51" i="1"/>
  <c r="F51" i="1"/>
  <c r="I29" i="1"/>
  <c r="J29" i="1"/>
  <c r="G29" i="1"/>
  <c r="F29" i="1"/>
  <c r="E737" i="1"/>
  <c r="E832" i="1"/>
  <c r="J842" i="1"/>
  <c r="I842" i="1"/>
  <c r="E841" i="1"/>
  <c r="H852" i="1" l="1"/>
  <c r="E852" i="1" s="1"/>
  <c r="E618" i="1"/>
  <c r="E51" i="1"/>
  <c r="E65" i="1"/>
  <c r="C407" i="1"/>
  <c r="E407" i="1"/>
  <c r="E19" i="1"/>
  <c r="M852" i="1" l="1"/>
  <c r="E259" i="1"/>
  <c r="E258" i="1"/>
  <c r="E257" i="1"/>
  <c r="E256" i="1"/>
  <c r="E255" i="1"/>
  <c r="E254" i="1"/>
  <c r="E253" i="1"/>
  <c r="E252" i="1"/>
  <c r="H725" i="1" l="1"/>
  <c r="I541" i="1" l="1"/>
  <c r="I849" i="1" s="1"/>
  <c r="H541" i="1"/>
  <c r="G541" i="1"/>
  <c r="G321" i="1" l="1"/>
  <c r="G330" i="1"/>
  <c r="G679" i="1"/>
  <c r="G431" i="1"/>
  <c r="E736" i="1" l="1"/>
  <c r="E735" i="1"/>
  <c r="E734" i="1"/>
  <c r="E733" i="1"/>
  <c r="E732" i="1"/>
  <c r="E731" i="1"/>
  <c r="E730" i="1"/>
  <c r="E729" i="1"/>
  <c r="E725" i="1" l="1"/>
  <c r="E727" i="1" l="1"/>
  <c r="E726" i="1"/>
  <c r="E724" i="1"/>
  <c r="E723" i="1"/>
  <c r="E722" i="1"/>
  <c r="E721" i="1"/>
  <c r="E720" i="1"/>
  <c r="H227" i="1" l="1"/>
  <c r="E230" i="1"/>
  <c r="E718" i="1" l="1"/>
  <c r="E717" i="1"/>
  <c r="E716" i="1"/>
  <c r="E715" i="1"/>
  <c r="E714" i="1"/>
  <c r="E713" i="1"/>
  <c r="E712" i="1"/>
  <c r="E711" i="1"/>
  <c r="G147" i="1" l="1"/>
  <c r="G75" i="1"/>
  <c r="G76" i="1"/>
  <c r="G851" i="1" s="1"/>
  <c r="H147" i="1"/>
  <c r="E541" i="1"/>
  <c r="G148" i="1" l="1"/>
  <c r="G850" i="1" s="1"/>
  <c r="E709" i="1" l="1"/>
  <c r="E708" i="1"/>
  <c r="E707" i="1"/>
  <c r="E706" i="1"/>
  <c r="E705" i="1"/>
  <c r="E704" i="1"/>
  <c r="E703" i="1"/>
  <c r="E702" i="1"/>
  <c r="E161" i="1"/>
  <c r="E167" i="1"/>
  <c r="E166" i="1"/>
  <c r="E165" i="1"/>
  <c r="E164" i="1"/>
  <c r="E163" i="1"/>
  <c r="E162" i="1"/>
  <c r="E160" i="1"/>
  <c r="E94" i="1"/>
  <c r="E93" i="1"/>
  <c r="E92" i="1"/>
  <c r="E91" i="1"/>
  <c r="E90" i="1"/>
  <c r="E89" i="1"/>
  <c r="E88" i="1"/>
  <c r="E87" i="1"/>
  <c r="H448" i="1" l="1"/>
  <c r="J137" i="1"/>
  <c r="J821" i="1" s="1"/>
  <c r="H485" i="1" l="1"/>
  <c r="H338" i="1"/>
  <c r="H660" i="1" l="1"/>
  <c r="H201" i="1"/>
  <c r="G82" i="1" l="1"/>
  <c r="H73" i="1" l="1"/>
  <c r="H192" i="1"/>
  <c r="H155" i="1" l="1"/>
  <c r="H393" i="1"/>
  <c r="I393" i="1"/>
  <c r="G393" i="1"/>
  <c r="I821" i="1" l="1"/>
  <c r="M821" i="1"/>
  <c r="I848" i="1"/>
  <c r="E693" i="1"/>
  <c r="E694" i="1"/>
  <c r="E695" i="1"/>
  <c r="E696" i="1"/>
  <c r="E698" i="1"/>
  <c r="E699" i="1"/>
  <c r="E700" i="1"/>
  <c r="E697" i="1"/>
  <c r="J848" i="1" l="1"/>
  <c r="G155" i="1" l="1"/>
  <c r="H411" i="1" l="1"/>
  <c r="G828" i="1"/>
  <c r="E824" i="1" l="1"/>
  <c r="E825" i="1"/>
  <c r="E826" i="1"/>
  <c r="E827" i="1"/>
  <c r="H247" i="1" l="1"/>
  <c r="H237" i="1" s="1"/>
  <c r="H228" i="1" s="1"/>
  <c r="G375" i="1"/>
  <c r="F623" i="1"/>
  <c r="F821" i="1" s="1"/>
  <c r="G678" i="1"/>
  <c r="G320" i="1"/>
  <c r="H183" i="1"/>
  <c r="F848" i="1" l="1"/>
  <c r="H384" i="1"/>
  <c r="H614" i="1"/>
  <c r="H837" i="1"/>
  <c r="H842" i="1" s="1"/>
  <c r="H347" i="1"/>
  <c r="H690" i="1" l="1"/>
  <c r="E250" i="1" l="1"/>
  <c r="H847" i="1" l="1"/>
  <c r="H844" i="1" l="1"/>
  <c r="H224" i="1"/>
  <c r="H142" i="1"/>
  <c r="E11" i="1"/>
  <c r="E648" i="1" l="1"/>
  <c r="E78" i="1"/>
  <c r="E79" i="1"/>
  <c r="E80" i="1"/>
  <c r="E81" i="1"/>
  <c r="E83" i="1"/>
  <c r="E84" i="1"/>
  <c r="E85" i="1"/>
  <c r="E687" i="1"/>
  <c r="G143" i="1" l="1"/>
  <c r="G144" i="1"/>
  <c r="G145" i="1"/>
  <c r="G146" i="1"/>
  <c r="G142" i="1"/>
  <c r="G70" i="1"/>
  <c r="G71" i="1"/>
  <c r="G72" i="1"/>
  <c r="G73" i="1"/>
  <c r="G69" i="1"/>
  <c r="G847" i="1" l="1"/>
  <c r="G846" i="1"/>
  <c r="G845" i="1"/>
  <c r="E69" i="1"/>
  <c r="G844" i="1"/>
  <c r="E74" i="1"/>
  <c r="H689" i="1"/>
  <c r="G837" i="1"/>
  <c r="G842" i="1" l="1"/>
  <c r="E842" i="1" s="1"/>
  <c r="H17" i="1"/>
  <c r="H16" i="1"/>
  <c r="H617" i="1"/>
  <c r="E617" i="1" s="1"/>
  <c r="H27" i="1"/>
  <c r="H26" i="1"/>
  <c r="E26" i="1" s="1"/>
  <c r="H25" i="1"/>
  <c r="H851" i="1" l="1"/>
  <c r="H849" i="1"/>
  <c r="H29" i="1"/>
  <c r="E29" i="1" s="1"/>
  <c r="M850" i="1" l="1"/>
  <c r="E850" i="1"/>
  <c r="M851" i="1"/>
  <c r="E851" i="1"/>
  <c r="E82" i="1"/>
  <c r="E73" i="1"/>
  <c r="G430" i="1" l="1"/>
  <c r="G329" i="1"/>
  <c r="M763" i="1" l="1"/>
  <c r="M764" i="1" s="1"/>
  <c r="M824" i="1"/>
  <c r="M823" i="1" s="1"/>
  <c r="G848" i="1"/>
  <c r="G853" i="1" s="1"/>
  <c r="H669" i="1"/>
  <c r="H848" i="1" s="1"/>
  <c r="H845" i="1"/>
  <c r="H846" i="1"/>
  <c r="H71" i="1"/>
  <c r="E71" i="1" s="1"/>
  <c r="H72" i="1"/>
  <c r="E72" i="1" s="1"/>
  <c r="E75" i="1"/>
  <c r="E76" i="1"/>
  <c r="H70" i="1"/>
  <c r="E131" i="1"/>
  <c r="E130" i="1"/>
  <c r="E129" i="1"/>
  <c r="E128" i="1"/>
  <c r="E127" i="1"/>
  <c r="E126" i="1"/>
  <c r="E125" i="1"/>
  <c r="E124" i="1"/>
  <c r="H853" i="1" l="1"/>
  <c r="E70" i="1"/>
  <c r="H225" i="1"/>
  <c r="H226" i="1"/>
  <c r="H146" i="1"/>
  <c r="H145" i="1"/>
  <c r="E34" i="1"/>
  <c r="E22" i="1"/>
  <c r="J849" i="1" l="1"/>
  <c r="E849" i="1" s="1"/>
  <c r="I847" i="1"/>
  <c r="J847" i="1"/>
  <c r="I846" i="1"/>
  <c r="J846" i="1"/>
  <c r="I844" i="1"/>
  <c r="J844" i="1"/>
  <c r="I845" i="1"/>
  <c r="J845" i="1"/>
  <c r="F846" i="1"/>
  <c r="F845" i="1"/>
  <c r="F847" i="1"/>
  <c r="E848" i="1"/>
  <c r="F844" i="1"/>
  <c r="E828" i="1"/>
  <c r="E829" i="1"/>
  <c r="E830" i="1"/>
  <c r="E831" i="1"/>
  <c r="E833" i="1"/>
  <c r="E834" i="1"/>
  <c r="E835" i="1"/>
  <c r="E836" i="1"/>
  <c r="E837" i="1"/>
  <c r="E838" i="1"/>
  <c r="E839" i="1"/>
  <c r="E840" i="1"/>
  <c r="E96" i="1"/>
  <c r="E97" i="1"/>
  <c r="E98" i="1"/>
  <c r="E99" i="1"/>
  <c r="E100" i="1"/>
  <c r="E101" i="1"/>
  <c r="E102" i="1"/>
  <c r="E103" i="1"/>
  <c r="E105" i="1"/>
  <c r="E106" i="1"/>
  <c r="E107" i="1"/>
  <c r="E108" i="1"/>
  <c r="E109" i="1"/>
  <c r="E110" i="1"/>
  <c r="E111" i="1"/>
  <c r="E112" i="1"/>
  <c r="E115" i="1"/>
  <c r="E116" i="1"/>
  <c r="E117" i="1"/>
  <c r="E118" i="1"/>
  <c r="E119" i="1"/>
  <c r="E120" i="1"/>
  <c r="E121" i="1"/>
  <c r="E122" i="1"/>
  <c r="E133" i="1"/>
  <c r="E134" i="1"/>
  <c r="E135" i="1"/>
  <c r="E136" i="1"/>
  <c r="E137" i="1"/>
  <c r="E138" i="1"/>
  <c r="E139" i="1"/>
  <c r="E140" i="1"/>
  <c r="E149" i="1"/>
  <c r="E151" i="1"/>
  <c r="E152" i="1"/>
  <c r="E153" i="1"/>
  <c r="E154" i="1"/>
  <c r="E155" i="1"/>
  <c r="E156" i="1"/>
  <c r="E158" i="1"/>
  <c r="E169" i="1"/>
  <c r="E170" i="1"/>
  <c r="E171" i="1"/>
  <c r="E172" i="1"/>
  <c r="E173" i="1"/>
  <c r="E174" i="1"/>
  <c r="E175" i="1"/>
  <c r="E176" i="1"/>
  <c r="E179" i="1"/>
  <c r="E180" i="1"/>
  <c r="E181" i="1"/>
  <c r="E182" i="1"/>
  <c r="E183" i="1"/>
  <c r="E184" i="1"/>
  <c r="E185" i="1"/>
  <c r="E186" i="1"/>
  <c r="E188" i="1"/>
  <c r="E189" i="1"/>
  <c r="E190" i="1"/>
  <c r="E191" i="1"/>
  <c r="E192" i="1"/>
  <c r="E193" i="1"/>
  <c r="E194" i="1"/>
  <c r="E195" i="1"/>
  <c r="E197" i="1"/>
  <c r="E198" i="1"/>
  <c r="E199" i="1"/>
  <c r="E200" i="1"/>
  <c r="E201" i="1"/>
  <c r="E202" i="1"/>
  <c r="E203" i="1"/>
  <c r="E204" i="1"/>
  <c r="E206" i="1"/>
  <c r="E207" i="1"/>
  <c r="E208" i="1"/>
  <c r="E209" i="1"/>
  <c r="E210" i="1"/>
  <c r="E211" i="1"/>
  <c r="E212" i="1"/>
  <c r="E213" i="1"/>
  <c r="E215" i="1"/>
  <c r="E216" i="1"/>
  <c r="E217" i="1"/>
  <c r="E218" i="1"/>
  <c r="E219" i="1"/>
  <c r="E220" i="1"/>
  <c r="E221" i="1"/>
  <c r="E222" i="1"/>
  <c r="E224" i="1"/>
  <c r="E225" i="1"/>
  <c r="E226" i="1"/>
  <c r="E227" i="1"/>
  <c r="E228" i="1"/>
  <c r="E229" i="1"/>
  <c r="E231" i="1"/>
  <c r="E233" i="1"/>
  <c r="E234" i="1"/>
  <c r="E235" i="1"/>
  <c r="E236" i="1"/>
  <c r="E237" i="1"/>
  <c r="E238" i="1"/>
  <c r="E239" i="1"/>
  <c r="E240" i="1"/>
  <c r="E243" i="1"/>
  <c r="E244" i="1"/>
  <c r="E245" i="1"/>
  <c r="E246" i="1"/>
  <c r="E247" i="1"/>
  <c r="E248" i="1"/>
  <c r="E249" i="1"/>
  <c r="E261" i="1"/>
  <c r="E262" i="1"/>
  <c r="E263" i="1"/>
  <c r="E264" i="1"/>
  <c r="E265" i="1"/>
  <c r="E266" i="1"/>
  <c r="E267" i="1"/>
  <c r="E268" i="1"/>
  <c r="E270" i="1"/>
  <c r="E271" i="1"/>
  <c r="E272" i="1"/>
  <c r="E273" i="1"/>
  <c r="E274" i="1"/>
  <c r="E275" i="1"/>
  <c r="E276" i="1"/>
  <c r="E277" i="1"/>
  <c r="E279" i="1"/>
  <c r="E280" i="1"/>
  <c r="E281" i="1"/>
  <c r="E282" i="1"/>
  <c r="E283" i="1"/>
  <c r="E284" i="1"/>
  <c r="E285" i="1"/>
  <c r="E286" i="1"/>
  <c r="E288" i="1"/>
  <c r="E289" i="1"/>
  <c r="E290" i="1"/>
  <c r="E291" i="1"/>
  <c r="E292" i="1"/>
  <c r="E293" i="1"/>
  <c r="E294" i="1"/>
  <c r="E295" i="1"/>
  <c r="E297" i="1"/>
  <c r="E298" i="1"/>
  <c r="E299" i="1"/>
  <c r="E300" i="1"/>
  <c r="E301" i="1"/>
  <c r="E302" i="1"/>
  <c r="E303" i="1"/>
  <c r="E304" i="1"/>
  <c r="E307" i="1"/>
  <c r="E308" i="1"/>
  <c r="E309" i="1"/>
  <c r="E310" i="1"/>
  <c r="E311" i="1"/>
  <c r="E312" i="1"/>
  <c r="E313" i="1"/>
  <c r="E314" i="1"/>
  <c r="E316" i="1"/>
  <c r="E317" i="1"/>
  <c r="E318" i="1"/>
  <c r="E319" i="1"/>
  <c r="E320" i="1"/>
  <c r="E321" i="1"/>
  <c r="E322" i="1"/>
  <c r="E323" i="1"/>
  <c r="E325" i="1"/>
  <c r="E326" i="1"/>
  <c r="E327" i="1"/>
  <c r="E328" i="1"/>
  <c r="E329" i="1"/>
  <c r="E330" i="1"/>
  <c r="E331" i="1"/>
  <c r="E332" i="1"/>
  <c r="E334" i="1"/>
  <c r="E335" i="1"/>
  <c r="E336" i="1"/>
  <c r="E337" i="1"/>
  <c r="E338" i="1"/>
  <c r="E339" i="1"/>
  <c r="E340" i="1"/>
  <c r="E341" i="1"/>
  <c r="E343" i="1"/>
  <c r="E344" i="1"/>
  <c r="E345" i="1"/>
  <c r="E346" i="1"/>
  <c r="E347" i="1"/>
  <c r="E348" i="1"/>
  <c r="E349" i="1"/>
  <c r="E350" i="1"/>
  <c r="E352" i="1"/>
  <c r="E353" i="1"/>
  <c r="E354" i="1"/>
  <c r="E355" i="1"/>
  <c r="E356" i="1"/>
  <c r="E357" i="1"/>
  <c r="E358" i="1"/>
  <c r="E359" i="1"/>
  <c r="E362" i="1"/>
  <c r="E363" i="1"/>
  <c r="E364" i="1"/>
  <c r="E365" i="1"/>
  <c r="E366" i="1"/>
  <c r="E367" i="1"/>
  <c r="E368" i="1"/>
  <c r="E369" i="1"/>
  <c r="E371" i="1"/>
  <c r="E372" i="1"/>
  <c r="E373" i="1"/>
  <c r="E374" i="1"/>
  <c r="E375" i="1"/>
  <c r="E376" i="1"/>
  <c r="E377" i="1"/>
  <c r="E378" i="1"/>
  <c r="E380" i="1"/>
  <c r="E381" i="1"/>
  <c r="E382" i="1"/>
  <c r="E383" i="1"/>
  <c r="E384" i="1"/>
  <c r="E385" i="1"/>
  <c r="E386" i="1"/>
  <c r="E387" i="1"/>
  <c r="E389" i="1"/>
  <c r="E390" i="1"/>
  <c r="E391" i="1"/>
  <c r="E392" i="1"/>
  <c r="E393" i="1"/>
  <c r="E394" i="1"/>
  <c r="E395" i="1"/>
  <c r="E396" i="1"/>
  <c r="E398" i="1"/>
  <c r="E399" i="1"/>
  <c r="E400" i="1"/>
  <c r="E401" i="1"/>
  <c r="E402" i="1"/>
  <c r="E403" i="1"/>
  <c r="E404" i="1"/>
  <c r="E405" i="1"/>
  <c r="E408" i="1"/>
  <c r="E409" i="1"/>
  <c r="E410" i="1"/>
  <c r="E411" i="1"/>
  <c r="E412" i="1"/>
  <c r="E413" i="1"/>
  <c r="E414" i="1"/>
  <c r="E417" i="1"/>
  <c r="E418" i="1"/>
  <c r="E419" i="1"/>
  <c r="E420" i="1"/>
  <c r="E421" i="1"/>
  <c r="E422" i="1"/>
  <c r="E423" i="1"/>
  <c r="E424" i="1"/>
  <c r="E426" i="1"/>
  <c r="E427" i="1"/>
  <c r="E428" i="1"/>
  <c r="E429" i="1"/>
  <c r="E430" i="1"/>
  <c r="E431" i="1"/>
  <c r="E432" i="1"/>
  <c r="E433" i="1"/>
  <c r="E435" i="1"/>
  <c r="E436" i="1"/>
  <c r="E437" i="1"/>
  <c r="E438" i="1"/>
  <c r="E439" i="1"/>
  <c r="E440" i="1"/>
  <c r="E441" i="1"/>
  <c r="E442" i="1"/>
  <c r="E444" i="1"/>
  <c r="E445" i="1"/>
  <c r="E446" i="1"/>
  <c r="E447" i="1"/>
  <c r="E448" i="1"/>
  <c r="E449" i="1"/>
  <c r="E450" i="1"/>
  <c r="E451" i="1"/>
  <c r="E453" i="1"/>
  <c r="E454" i="1"/>
  <c r="E455" i="1"/>
  <c r="E456" i="1"/>
  <c r="E457" i="1"/>
  <c r="E458" i="1"/>
  <c r="E459" i="1"/>
  <c r="E460" i="1"/>
  <c r="E462" i="1"/>
  <c r="E463" i="1"/>
  <c r="E464" i="1"/>
  <c r="E465" i="1"/>
  <c r="E466" i="1"/>
  <c r="E467" i="1"/>
  <c r="E468" i="1"/>
  <c r="E469" i="1"/>
  <c r="E471" i="1"/>
  <c r="E472" i="1"/>
  <c r="E473" i="1"/>
  <c r="E474" i="1"/>
  <c r="E475" i="1"/>
  <c r="E476" i="1"/>
  <c r="E477" i="1"/>
  <c r="E478" i="1"/>
  <c r="E481" i="1"/>
  <c r="E482" i="1"/>
  <c r="E483" i="1"/>
  <c r="E484" i="1"/>
  <c r="E485" i="1"/>
  <c r="E486" i="1"/>
  <c r="E487" i="1"/>
  <c r="E488" i="1"/>
  <c r="E490" i="1"/>
  <c r="E491" i="1"/>
  <c r="E492" i="1"/>
  <c r="E493" i="1"/>
  <c r="E494" i="1"/>
  <c r="E495" i="1"/>
  <c r="E496" i="1"/>
  <c r="E497" i="1"/>
  <c r="E499" i="1"/>
  <c r="E500" i="1"/>
  <c r="E501" i="1"/>
  <c r="E502" i="1"/>
  <c r="E503" i="1"/>
  <c r="E504" i="1"/>
  <c r="E505" i="1"/>
  <c r="E506" i="1"/>
  <c r="E508" i="1"/>
  <c r="E509" i="1"/>
  <c r="E510" i="1"/>
  <c r="E511" i="1"/>
  <c r="E512" i="1"/>
  <c r="E513" i="1"/>
  <c r="E514" i="1"/>
  <c r="E515" i="1"/>
  <c r="E517" i="1"/>
  <c r="E518" i="1"/>
  <c r="E519" i="1"/>
  <c r="E520" i="1"/>
  <c r="E521" i="1"/>
  <c r="E522" i="1"/>
  <c r="E523" i="1"/>
  <c r="E524" i="1"/>
  <c r="E526" i="1"/>
  <c r="E527" i="1"/>
  <c r="E528" i="1"/>
  <c r="E529" i="1"/>
  <c r="E530" i="1"/>
  <c r="E531" i="1"/>
  <c r="E532" i="1"/>
  <c r="E533" i="1"/>
  <c r="E536" i="1"/>
  <c r="E537" i="1"/>
  <c r="E538" i="1"/>
  <c r="E539" i="1"/>
  <c r="E540" i="1"/>
  <c r="E543" i="1"/>
  <c r="E545" i="1"/>
  <c r="E546" i="1"/>
  <c r="E547" i="1"/>
  <c r="E548" i="1"/>
  <c r="E549" i="1"/>
  <c r="E550" i="1"/>
  <c r="E551" i="1"/>
  <c r="E552" i="1"/>
  <c r="E554" i="1"/>
  <c r="E555" i="1"/>
  <c r="E556" i="1"/>
  <c r="E557" i="1"/>
  <c r="E558" i="1"/>
  <c r="E559" i="1"/>
  <c r="E560" i="1"/>
  <c r="E561" i="1"/>
  <c r="E563" i="1"/>
  <c r="E564" i="1"/>
  <c r="E565" i="1"/>
  <c r="E566" i="1"/>
  <c r="E567" i="1"/>
  <c r="E568" i="1"/>
  <c r="E569" i="1"/>
  <c r="E570" i="1"/>
  <c r="E572" i="1"/>
  <c r="E573" i="1"/>
  <c r="E574" i="1"/>
  <c r="E575" i="1"/>
  <c r="E576" i="1"/>
  <c r="E577" i="1"/>
  <c r="E578" i="1"/>
  <c r="E579" i="1"/>
  <c r="E582" i="1"/>
  <c r="E583" i="1"/>
  <c r="E584" i="1"/>
  <c r="E585" i="1"/>
  <c r="E586" i="1"/>
  <c r="E587" i="1"/>
  <c r="E588" i="1"/>
  <c r="E589" i="1"/>
  <c r="E591" i="1"/>
  <c r="E592" i="1"/>
  <c r="E593" i="1"/>
  <c r="E594" i="1"/>
  <c r="E595" i="1"/>
  <c r="E596" i="1"/>
  <c r="E597" i="1"/>
  <c r="E598" i="1"/>
  <c r="E601" i="1"/>
  <c r="E602" i="1"/>
  <c r="E603" i="1"/>
  <c r="E604" i="1"/>
  <c r="E605" i="1"/>
  <c r="E606" i="1"/>
  <c r="E607" i="1"/>
  <c r="E608" i="1"/>
  <c r="E610" i="1"/>
  <c r="E611" i="1"/>
  <c r="E612" i="1"/>
  <c r="E613" i="1"/>
  <c r="E614" i="1"/>
  <c r="E615" i="1"/>
  <c r="E616" i="1"/>
  <c r="E619" i="1"/>
  <c r="E620" i="1"/>
  <c r="E621" i="1"/>
  <c r="E622" i="1"/>
  <c r="E623" i="1"/>
  <c r="E624" i="1"/>
  <c r="E625" i="1"/>
  <c r="E626" i="1"/>
  <c r="E628" i="1"/>
  <c r="E629" i="1"/>
  <c r="E630" i="1"/>
  <c r="E631" i="1"/>
  <c r="E632" i="1"/>
  <c r="E633" i="1"/>
  <c r="E634" i="1"/>
  <c r="E635" i="1"/>
  <c r="E638" i="1"/>
  <c r="E639" i="1"/>
  <c r="E640" i="1"/>
  <c r="E641" i="1"/>
  <c r="E642" i="1"/>
  <c r="E643" i="1"/>
  <c r="E644" i="1"/>
  <c r="E645" i="1"/>
  <c r="E647" i="1"/>
  <c r="E649" i="1"/>
  <c r="E650" i="1"/>
  <c r="E651" i="1"/>
  <c r="E652" i="1"/>
  <c r="E653" i="1"/>
  <c r="E654" i="1"/>
  <c r="E656" i="1"/>
  <c r="E657" i="1"/>
  <c r="E658" i="1"/>
  <c r="E659" i="1"/>
  <c r="E660" i="1"/>
  <c r="E661" i="1"/>
  <c r="E662" i="1"/>
  <c r="E663" i="1"/>
  <c r="E665" i="1"/>
  <c r="E666" i="1"/>
  <c r="E667" i="1"/>
  <c r="E668" i="1"/>
  <c r="E669" i="1"/>
  <c r="E671" i="1"/>
  <c r="E672" i="1"/>
  <c r="E674" i="1"/>
  <c r="E675" i="1"/>
  <c r="E676" i="1"/>
  <c r="E677" i="1"/>
  <c r="E678" i="1"/>
  <c r="E679" i="1"/>
  <c r="E680" i="1"/>
  <c r="E681" i="1"/>
  <c r="E683" i="1"/>
  <c r="E684" i="1"/>
  <c r="E685" i="1"/>
  <c r="E686" i="1"/>
  <c r="E688" i="1"/>
  <c r="E689" i="1"/>
  <c r="E690" i="1"/>
  <c r="E57" i="1"/>
  <c r="E58" i="1"/>
  <c r="E59" i="1"/>
  <c r="E60" i="1"/>
  <c r="E61" i="1"/>
  <c r="E62" i="1"/>
  <c r="E63" i="1"/>
  <c r="E56" i="1"/>
  <c r="E35" i="1"/>
  <c r="E36" i="1"/>
  <c r="E37" i="1"/>
  <c r="E38" i="1"/>
  <c r="E39" i="1"/>
  <c r="E40" i="1"/>
  <c r="E42" i="1"/>
  <c r="E43" i="1"/>
  <c r="E44" i="1"/>
  <c r="E45" i="1"/>
  <c r="E46" i="1"/>
  <c r="E47" i="1"/>
  <c r="E48" i="1"/>
  <c r="E49" i="1"/>
  <c r="E33" i="1"/>
  <c r="E12" i="1"/>
  <c r="E13" i="1"/>
  <c r="E14" i="1"/>
  <c r="E15" i="1"/>
  <c r="E16" i="1"/>
  <c r="E17" i="1"/>
  <c r="E18" i="1"/>
  <c r="E20" i="1"/>
  <c r="E21" i="1"/>
  <c r="E23" i="1"/>
  <c r="E24" i="1"/>
  <c r="E25" i="1"/>
  <c r="E27" i="1"/>
  <c r="J853" i="1" l="1"/>
  <c r="I853" i="1"/>
  <c r="E844" i="1"/>
  <c r="E845" i="1"/>
  <c r="E846" i="1"/>
  <c r="E847" i="1"/>
  <c r="E142" i="1"/>
  <c r="H143" i="1"/>
  <c r="H144" i="1"/>
  <c r="E144" i="1" s="1"/>
  <c r="E145" i="1"/>
  <c r="E146" i="1"/>
  <c r="E147" i="1"/>
  <c r="E853" i="1" l="1"/>
  <c r="E148" i="1"/>
  <c r="E143" i="1"/>
  <c r="M831" i="1"/>
  <c r="C674" i="1"/>
  <c r="C656" i="1"/>
  <c r="C638" i="1"/>
  <c r="C683" i="1"/>
  <c r="C628" i="1"/>
  <c r="C619" i="1"/>
  <c r="C610" i="1"/>
  <c r="C601" i="1"/>
  <c r="C591" i="1"/>
  <c r="C582" i="1"/>
  <c r="C572" i="1"/>
  <c r="C563" i="1"/>
  <c r="C554" i="1"/>
  <c r="C545" i="1"/>
  <c r="C536" i="1"/>
  <c r="C526" i="1"/>
  <c r="C517" i="1"/>
  <c r="C508" i="1"/>
  <c r="C499" i="1"/>
  <c r="C490" i="1"/>
  <c r="C481" i="1"/>
  <c r="C471" i="1"/>
  <c r="C462" i="1"/>
  <c r="C453" i="1"/>
  <c r="C444" i="1"/>
  <c r="C435" i="1"/>
  <c r="C426" i="1"/>
  <c r="C417" i="1"/>
  <c r="C398" i="1"/>
  <c r="C665" i="1"/>
  <c r="C647" i="1"/>
  <c r="C307" i="1"/>
  <c r="C233" i="1"/>
  <c r="C362" i="1"/>
  <c r="C389" i="1"/>
  <c r="C380" i="1"/>
  <c r="C371" i="1"/>
  <c r="C352" i="1"/>
  <c r="C343" i="1"/>
  <c r="C334" i="1"/>
  <c r="C325" i="1"/>
  <c r="C316" i="1"/>
  <c r="M822" i="1" l="1"/>
</calcChain>
</file>

<file path=xl/comments1.xml><?xml version="1.0" encoding="utf-8"?>
<comments xmlns="http://schemas.openxmlformats.org/spreadsheetml/2006/main">
  <authors>
    <author>Автор</author>
  </authors>
  <commentList>
    <comment ref="B42" authorId="0" shapeId="0">
      <text>
        <r>
          <rPr>
            <b/>
            <sz val="16"/>
            <color indexed="81"/>
            <rFont val="Tahoma"/>
            <family val="2"/>
            <charset val="204"/>
          </rPr>
          <t>Автор:</t>
        </r>
        <r>
          <rPr>
            <sz val="16"/>
            <color indexed="81"/>
            <rFont val="Tahoma"/>
            <family val="2"/>
            <charset val="204"/>
          </rPr>
          <t xml:space="preserve">
011.50.10500.31</t>
        </r>
      </text>
    </comment>
    <comment ref="B56" authorId="0" shapeId="0">
      <text>
        <r>
          <rPr>
            <b/>
            <sz val="16"/>
            <color indexed="81"/>
            <rFont val="Tahoma"/>
            <family val="2"/>
            <charset val="204"/>
          </rPr>
          <t>Автор:</t>
        </r>
        <r>
          <rPr>
            <sz val="16"/>
            <color indexed="81"/>
            <rFont val="Tahoma"/>
            <family val="2"/>
            <charset val="204"/>
          </rPr>
          <t xml:space="preserve">
011.03.10500.27</t>
        </r>
      </text>
    </comment>
    <comment ref="B78" authorId="0" shapeId="0">
      <text>
        <r>
          <rPr>
            <b/>
            <sz val="16"/>
            <color indexed="81"/>
            <rFont val="Tahoma"/>
            <family val="2"/>
            <charset val="204"/>
          </rPr>
          <t>Автор:</t>
        </r>
        <r>
          <rPr>
            <sz val="16"/>
            <color indexed="81"/>
            <rFont val="Tahoma"/>
            <family val="2"/>
            <charset val="204"/>
          </rPr>
          <t xml:space="preserve">
123.003.024</t>
        </r>
      </text>
    </comment>
    <comment ref="B87" authorId="0" shapeId="0">
      <text>
        <r>
          <rPr>
            <b/>
            <sz val="12"/>
            <color indexed="81"/>
            <rFont val="Tahoma"/>
            <family val="2"/>
            <charset val="204"/>
          </rPr>
          <t>Автор:</t>
        </r>
        <r>
          <rPr>
            <sz val="12"/>
            <color indexed="81"/>
            <rFont val="Tahoma"/>
            <family val="2"/>
            <charset val="204"/>
          </rPr>
          <t xml:space="preserve">
123.003.024
011.51.60860.01</t>
        </r>
        <r>
          <rPr>
            <sz val="9"/>
            <color indexed="81"/>
            <rFont val="Tahoma"/>
            <family val="2"/>
            <charset val="204"/>
          </rPr>
          <t xml:space="preserve">
</t>
        </r>
      </text>
    </comment>
    <comment ref="B96" authorId="0" shapeId="0">
      <text>
        <r>
          <rPr>
            <b/>
            <sz val="16"/>
            <color indexed="81"/>
            <rFont val="Tahoma"/>
            <family val="2"/>
            <charset val="204"/>
          </rPr>
          <t>Автор:</t>
        </r>
        <r>
          <rPr>
            <sz val="16"/>
            <color indexed="81"/>
            <rFont val="Tahoma"/>
            <family val="2"/>
            <charset val="204"/>
          </rPr>
          <t xml:space="preserve">
011.51.10500.42</t>
        </r>
      </text>
    </comment>
    <comment ref="B124" authorId="0" shapeId="0">
      <text>
        <r>
          <rPr>
            <b/>
            <sz val="14"/>
            <color indexed="81"/>
            <rFont val="Tahoma"/>
            <family val="2"/>
            <charset val="204"/>
          </rPr>
          <t>Автор:</t>
        </r>
        <r>
          <rPr>
            <sz val="14"/>
            <color indexed="81"/>
            <rFont val="Tahoma"/>
            <family val="2"/>
            <charset val="204"/>
          </rPr>
          <t xml:space="preserve">
011.51.10500.48</t>
        </r>
      </text>
    </comment>
    <comment ref="B151" authorId="0" shapeId="0">
      <text>
        <r>
          <rPr>
            <b/>
            <sz val="14"/>
            <color indexed="81"/>
            <rFont val="Tahoma"/>
            <family val="2"/>
            <charset val="204"/>
          </rPr>
          <t>Автор:</t>
        </r>
        <r>
          <rPr>
            <sz val="14"/>
            <color indexed="81"/>
            <rFont val="Tahoma"/>
            <family val="2"/>
            <charset val="204"/>
          </rPr>
          <t xml:space="preserve">
123.003.010</t>
        </r>
        <r>
          <rPr>
            <sz val="9"/>
            <color indexed="81"/>
            <rFont val="Tahoma"/>
            <family val="2"/>
            <charset val="204"/>
          </rPr>
          <t xml:space="preserve">
</t>
        </r>
      </text>
    </comment>
    <comment ref="B160" authorId="0" shapeId="0">
      <text>
        <r>
          <rPr>
            <b/>
            <sz val="14"/>
            <color indexed="81"/>
            <rFont val="Tahoma"/>
            <family val="2"/>
            <charset val="204"/>
          </rPr>
          <t>Автор:</t>
        </r>
        <r>
          <rPr>
            <sz val="14"/>
            <color indexed="81"/>
            <rFont val="Tahoma"/>
            <family val="2"/>
            <charset val="204"/>
          </rPr>
          <t xml:space="preserve">
123.003.010
011.52.60860.01</t>
        </r>
      </text>
    </comment>
    <comment ref="B179" authorId="0" shapeId="0">
      <text>
        <r>
          <rPr>
            <b/>
            <sz val="9"/>
            <color indexed="81"/>
            <rFont val="Tahoma"/>
            <family val="2"/>
            <charset val="204"/>
          </rPr>
          <t>Автор:</t>
        </r>
        <r>
          <rPr>
            <sz val="9"/>
            <color indexed="81"/>
            <rFont val="Tahoma"/>
            <family val="2"/>
            <charset val="204"/>
          </rPr>
          <t xml:space="preserve">
011.52.10500.35</t>
        </r>
      </text>
    </comment>
    <comment ref="B188" authorId="0" shapeId="0">
      <text>
        <r>
          <rPr>
            <b/>
            <sz val="12"/>
            <color indexed="81"/>
            <rFont val="Tahoma"/>
            <family val="2"/>
            <charset val="204"/>
          </rPr>
          <t>Автор:</t>
        </r>
        <r>
          <rPr>
            <sz val="12"/>
            <color indexed="81"/>
            <rFont val="Tahoma"/>
            <family val="2"/>
            <charset val="204"/>
          </rPr>
          <t xml:space="preserve">
011.52.10500.12
</t>
        </r>
      </text>
    </comment>
    <comment ref="B197" authorId="0" shapeId="0">
      <text>
        <r>
          <rPr>
            <b/>
            <sz val="12"/>
            <color indexed="81"/>
            <rFont val="Tahoma"/>
            <family val="2"/>
            <charset val="204"/>
          </rPr>
          <t>Автор:</t>
        </r>
        <r>
          <rPr>
            <sz val="12"/>
            <color indexed="81"/>
            <rFont val="Tahoma"/>
            <family val="2"/>
            <charset val="204"/>
          </rPr>
          <t xml:space="preserve">
011.52.10500.13</t>
        </r>
      </text>
    </comment>
    <comment ref="B233" authorId="0" shapeId="0">
      <text>
        <r>
          <rPr>
            <b/>
            <sz val="9"/>
            <color indexed="81"/>
            <rFont val="Tahoma"/>
            <family val="2"/>
            <charset val="204"/>
          </rPr>
          <t>Автор:</t>
        </r>
        <r>
          <rPr>
            <sz val="9"/>
            <color indexed="81"/>
            <rFont val="Tahoma"/>
            <family val="2"/>
            <charset val="204"/>
          </rPr>
          <t xml:space="preserve">
0115300590</t>
        </r>
      </text>
    </comment>
    <comment ref="B243" authorId="0" shapeId="0">
      <text>
        <r>
          <rPr>
            <b/>
            <sz val="11"/>
            <color indexed="81"/>
            <rFont val="Tahoma"/>
            <family val="2"/>
            <charset val="204"/>
          </rPr>
          <t>Автор:</t>
        </r>
        <r>
          <rPr>
            <sz val="11"/>
            <color indexed="81"/>
            <rFont val="Tahoma"/>
            <family val="2"/>
            <charset val="204"/>
          </rPr>
          <t xml:space="preserve">
цср   0115500590</t>
        </r>
        <r>
          <rPr>
            <sz val="9"/>
            <color indexed="81"/>
            <rFont val="Tahoma"/>
            <family val="2"/>
            <charset val="204"/>
          </rPr>
          <t xml:space="preserve">
</t>
        </r>
      </text>
    </comment>
    <comment ref="B252" authorId="0" shapeId="0">
      <text>
        <r>
          <rPr>
            <b/>
            <sz val="11"/>
            <color indexed="81"/>
            <rFont val="Tahoma"/>
            <family val="2"/>
            <charset val="204"/>
          </rPr>
          <t>Автор:</t>
        </r>
        <r>
          <rPr>
            <sz val="11"/>
            <color indexed="81"/>
            <rFont val="Tahoma"/>
            <family val="2"/>
            <charset val="204"/>
          </rPr>
          <t xml:space="preserve">
цср   0115500590</t>
        </r>
        <r>
          <rPr>
            <sz val="9"/>
            <color indexed="81"/>
            <rFont val="Tahoma"/>
            <family val="2"/>
            <charset val="204"/>
          </rPr>
          <t xml:space="preserve">
ВР 614 624
</t>
        </r>
      </text>
    </comment>
    <comment ref="B261" authorId="0" shapeId="0">
      <text>
        <r>
          <rPr>
            <b/>
            <sz val="12"/>
            <color indexed="81"/>
            <rFont val="Tahoma"/>
            <family val="2"/>
            <charset val="204"/>
          </rPr>
          <t>Автор:</t>
        </r>
        <r>
          <rPr>
            <sz val="12"/>
            <color indexed="81"/>
            <rFont val="Tahoma"/>
            <family val="2"/>
            <charset val="204"/>
          </rPr>
          <t xml:space="preserve">
011.53.10500.27</t>
        </r>
      </text>
    </comment>
    <comment ref="B279" authorId="0" shapeId="0">
      <text>
        <r>
          <rPr>
            <b/>
            <sz val="12"/>
            <color indexed="81"/>
            <rFont val="Tahoma"/>
            <family val="2"/>
            <charset val="204"/>
          </rPr>
          <t>Автор:</t>
        </r>
        <r>
          <rPr>
            <sz val="12"/>
            <color indexed="81"/>
            <rFont val="Tahoma"/>
            <family val="2"/>
            <charset val="204"/>
          </rPr>
          <t xml:space="preserve">
011.53.20090.01
</t>
        </r>
      </text>
    </comment>
    <comment ref="B288" authorId="0" shapeId="0">
      <text>
        <r>
          <rPr>
            <b/>
            <sz val="9"/>
            <color indexed="81"/>
            <rFont val="Tahoma"/>
            <charset val="1"/>
          </rPr>
          <t>Автор:</t>
        </r>
        <r>
          <rPr>
            <sz val="9"/>
            <color indexed="81"/>
            <rFont val="Tahoma"/>
            <charset val="1"/>
          </rPr>
          <t xml:space="preserve">
0115500590</t>
        </r>
      </text>
    </comment>
    <comment ref="B307" authorId="0" shapeId="0">
      <text>
        <r>
          <rPr>
            <b/>
            <sz val="9"/>
            <color indexed="81"/>
            <rFont val="Tahoma"/>
            <family val="2"/>
            <charset val="204"/>
          </rPr>
          <t>Автор:</t>
        </r>
        <r>
          <rPr>
            <sz val="9"/>
            <color indexed="81"/>
            <rFont val="Tahoma"/>
            <family val="2"/>
            <charset val="204"/>
          </rPr>
          <t xml:space="preserve">
вр 811
0115162460</t>
        </r>
      </text>
    </comment>
    <comment ref="B316" authorId="0" shapeId="0">
      <text>
        <r>
          <rPr>
            <b/>
            <sz val="11"/>
            <color indexed="81"/>
            <rFont val="Tahoma"/>
            <family val="2"/>
            <charset val="204"/>
          </rPr>
          <t>Автор:</t>
        </r>
        <r>
          <rPr>
            <sz val="11"/>
            <color indexed="81"/>
            <rFont val="Tahoma"/>
            <family val="2"/>
            <charset val="204"/>
          </rPr>
          <t xml:space="preserve">
123.003.019                              </t>
        </r>
        <r>
          <rPr>
            <sz val="9"/>
            <color indexed="81"/>
            <rFont val="Tahoma"/>
            <family val="2"/>
            <charset val="204"/>
          </rPr>
          <t xml:space="preserve">
</t>
        </r>
        <r>
          <rPr>
            <sz val="12"/>
            <color indexed="81"/>
            <rFont val="Tahoma"/>
            <family val="2"/>
            <charset val="204"/>
          </rPr>
          <t xml:space="preserve">011.51.60820.05
</t>
        </r>
        <r>
          <rPr>
            <sz val="11"/>
            <color indexed="81"/>
            <rFont val="Tahoma"/>
            <family val="2"/>
            <charset val="204"/>
          </rPr>
          <t xml:space="preserve">123.003.23
</t>
        </r>
        <r>
          <rPr>
            <sz val="12"/>
            <color indexed="81"/>
            <rFont val="Tahoma"/>
            <family val="2"/>
            <charset val="204"/>
          </rPr>
          <t xml:space="preserve">011.52.60860.
</t>
        </r>
        <r>
          <rPr>
            <sz val="11"/>
            <color indexed="81"/>
            <rFont val="Tahoma"/>
            <family val="2"/>
            <charset val="204"/>
          </rPr>
          <t xml:space="preserve">
123.003.022</t>
        </r>
        <r>
          <rPr>
            <sz val="12"/>
            <color indexed="81"/>
            <rFont val="Tahoma"/>
            <family val="2"/>
            <charset val="204"/>
          </rPr>
          <t xml:space="preserve">
011.53.60820.26</t>
        </r>
      </text>
    </comment>
    <comment ref="B325" authorId="0" shapeId="0">
      <text>
        <r>
          <rPr>
            <b/>
            <sz val="12"/>
            <color indexed="81"/>
            <rFont val="Tahoma"/>
            <family val="2"/>
            <charset val="204"/>
          </rPr>
          <t>Автор:</t>
        </r>
        <r>
          <rPr>
            <sz val="12"/>
            <color indexed="81"/>
            <rFont val="Tahoma"/>
            <family val="2"/>
            <charset val="204"/>
          </rPr>
          <t xml:space="preserve">
1004 0115060710
123.003.016</t>
        </r>
      </text>
    </comment>
    <comment ref="B334" authorId="0" shapeId="0">
      <text>
        <r>
          <rPr>
            <b/>
            <sz val="9"/>
            <color indexed="81"/>
            <rFont val="Tahoma"/>
            <family val="2"/>
            <charset val="204"/>
          </rPr>
          <t>Автор:</t>
        </r>
        <r>
          <rPr>
            <sz val="9"/>
            <color indexed="81"/>
            <rFont val="Tahoma"/>
            <family val="2"/>
            <charset val="204"/>
          </rPr>
          <t xml:space="preserve">
011.50.10500.29</t>
        </r>
      </text>
    </comment>
    <comment ref="B343" authorId="0" shapeId="0">
      <text>
        <r>
          <rPr>
            <b/>
            <sz val="11"/>
            <color indexed="81"/>
            <rFont val="Tahoma"/>
            <family val="2"/>
            <charset val="204"/>
          </rPr>
          <t>Автор:</t>
        </r>
        <r>
          <rPr>
            <sz val="11"/>
            <color indexed="81"/>
            <rFont val="Tahoma"/>
            <family val="2"/>
            <charset val="204"/>
          </rPr>
          <t xml:space="preserve">
011.50.10500.30</t>
        </r>
        <r>
          <rPr>
            <sz val="9"/>
            <color indexed="81"/>
            <rFont val="Tahoma"/>
            <family val="2"/>
            <charset val="204"/>
          </rPr>
          <t xml:space="preserve">
</t>
        </r>
      </text>
    </comment>
    <comment ref="B352" authorId="0" shapeId="0">
      <text>
        <r>
          <rPr>
            <b/>
            <sz val="11"/>
            <color indexed="81"/>
            <rFont val="Tahoma"/>
            <family val="2"/>
            <charset val="204"/>
          </rPr>
          <t>Автор:</t>
        </r>
        <r>
          <rPr>
            <sz val="11"/>
            <color indexed="81"/>
            <rFont val="Tahoma"/>
            <family val="2"/>
            <charset val="204"/>
          </rPr>
          <t xml:space="preserve">
011.50.10500.20</t>
        </r>
      </text>
    </comment>
    <comment ref="B371" authorId="0" shapeId="0">
      <text>
        <r>
          <rPr>
            <b/>
            <sz val="11"/>
            <color indexed="81"/>
            <rFont val="Tahoma"/>
            <family val="2"/>
            <charset val="204"/>
          </rPr>
          <t>Автор:</t>
        </r>
        <r>
          <rPr>
            <sz val="11"/>
            <color indexed="81"/>
            <rFont val="Tahoma"/>
            <family val="2"/>
            <charset val="204"/>
          </rPr>
          <t xml:space="preserve">
123.003.013
011.52.62500.17</t>
        </r>
      </text>
    </comment>
    <comment ref="B380" authorId="0" shapeId="0">
      <text>
        <r>
          <rPr>
            <b/>
            <sz val="9"/>
            <color indexed="81"/>
            <rFont val="Tahoma"/>
            <family val="2"/>
            <charset val="204"/>
          </rPr>
          <t>Автор:
011.52.09020.11</t>
        </r>
      </text>
    </comment>
    <comment ref="B389" authorId="0" shapeId="0">
      <text>
        <r>
          <rPr>
            <b/>
            <sz val="9"/>
            <color indexed="81"/>
            <rFont val="Tahoma"/>
            <family val="2"/>
            <charset val="204"/>
          </rPr>
          <t>Автор:</t>
        </r>
        <r>
          <rPr>
            <sz val="9"/>
            <color indexed="81"/>
            <rFont val="Tahoma"/>
            <family val="2"/>
            <charset val="204"/>
          </rPr>
          <t xml:space="preserve">
011.Е250970.01
011.Е2.S0970.01
011.Е2.Д097001</t>
        </r>
      </text>
    </comment>
    <comment ref="B407" authorId="0" shapeId="0">
      <text>
        <r>
          <rPr>
            <b/>
            <sz val="9"/>
            <color indexed="81"/>
            <rFont val="Tahoma"/>
            <family val="2"/>
            <charset val="204"/>
          </rPr>
          <t>Автор:</t>
        </r>
        <r>
          <rPr>
            <sz val="9"/>
            <color indexed="81"/>
            <rFont val="Tahoma"/>
            <family val="2"/>
            <charset val="204"/>
          </rPr>
          <t xml:space="preserve">
011.51.10500.04
011.52.10500.10
011.53.10500.25</t>
        </r>
      </text>
    </comment>
    <comment ref="B426" authorId="0" shapeId="0">
      <text>
        <r>
          <rPr>
            <b/>
            <sz val="9"/>
            <color indexed="81"/>
            <rFont val="Tahoma"/>
            <family val="2"/>
            <charset val="204"/>
          </rPr>
          <t>Автор:</t>
        </r>
        <r>
          <rPr>
            <sz val="9"/>
            <color indexed="81"/>
            <rFont val="Tahoma"/>
            <family val="2"/>
            <charset val="204"/>
          </rPr>
          <t xml:space="preserve">
011.52.62370.16</t>
        </r>
      </text>
    </comment>
    <comment ref="B444" authorId="0" shapeId="0">
      <text>
        <r>
          <rPr>
            <b/>
            <sz val="9"/>
            <color indexed="81"/>
            <rFont val="Tahoma"/>
            <family val="2"/>
            <charset val="204"/>
          </rPr>
          <t>Автор:</t>
        </r>
        <r>
          <rPr>
            <sz val="9"/>
            <color indexed="81"/>
            <rFont val="Tahoma"/>
            <family val="2"/>
            <charset val="204"/>
          </rPr>
          <t xml:space="preserve">
011.52.09020.09
011.51.09020.02
011.53.09020.34
</t>
        </r>
      </text>
    </comment>
    <comment ref="B471" authorId="0" shapeId="0">
      <text>
        <r>
          <rPr>
            <b/>
            <sz val="12"/>
            <color indexed="81"/>
            <rFont val="Tahoma"/>
            <family val="2"/>
            <charset val="204"/>
          </rPr>
          <t>Автор:</t>
        </r>
        <r>
          <rPr>
            <sz val="12"/>
            <color indexed="81"/>
            <rFont val="Tahoma"/>
            <family val="2"/>
            <charset val="204"/>
          </rPr>
          <t xml:space="preserve">
011.51.62980.02
011.52.62980.01
011.53.60980.03</t>
        </r>
      </text>
    </comment>
    <comment ref="B481" authorId="0" shapeId="0">
      <text>
        <r>
          <rPr>
            <b/>
            <sz val="11"/>
            <color indexed="81"/>
            <rFont val="Tahoma"/>
            <family val="2"/>
            <charset val="204"/>
          </rPr>
          <t>Автор:</t>
        </r>
        <r>
          <rPr>
            <sz val="11"/>
            <color indexed="81"/>
            <rFont val="Tahoma"/>
            <family val="2"/>
            <charset val="204"/>
          </rPr>
          <t xml:space="preserve">
011.54.10500.07
011.54.09020.08
011.54.09020.09(для сош43)</t>
        </r>
      </text>
    </comment>
    <comment ref="B490" authorId="0" shapeId="0">
      <text>
        <r>
          <rPr>
            <b/>
            <sz val="12"/>
            <color indexed="81"/>
            <rFont val="Tahoma"/>
            <family val="2"/>
            <charset val="204"/>
          </rPr>
          <t>Автор:</t>
        </r>
        <r>
          <rPr>
            <sz val="12"/>
            <color indexed="81"/>
            <rFont val="Tahoma"/>
            <family val="2"/>
            <charset val="204"/>
          </rPr>
          <t xml:space="preserve">
011.50.10500.32</t>
        </r>
      </text>
    </comment>
    <comment ref="B536" authorId="0" shapeId="0">
      <text>
        <r>
          <rPr>
            <b/>
            <sz val="11"/>
            <color indexed="81"/>
            <rFont val="Tahoma"/>
            <family val="2"/>
            <charset val="204"/>
          </rPr>
          <t>Автор:</t>
        </r>
        <r>
          <rPr>
            <sz val="11"/>
            <color indexed="81"/>
            <rFont val="Tahoma"/>
            <family val="2"/>
            <charset val="204"/>
          </rPr>
          <t xml:space="preserve">
011.51.S3410.01
124.002.023</t>
        </r>
      </text>
    </comment>
    <comment ref="B610" authorId="0" shapeId="0">
      <text>
        <r>
          <rPr>
            <b/>
            <sz val="9"/>
            <color indexed="81"/>
            <rFont val="Tahoma"/>
            <family val="2"/>
            <charset val="204"/>
          </rPr>
          <t>Автор:</t>
        </r>
        <r>
          <rPr>
            <sz val="9"/>
            <color indexed="81"/>
            <rFont val="Tahoma"/>
            <family val="2"/>
            <charset val="204"/>
          </rPr>
          <t xml:space="preserve">
011.52L3040.01
</t>
        </r>
      </text>
    </comment>
    <comment ref="B619" authorId="0" shapeId="0">
      <text>
        <r>
          <rPr>
            <b/>
            <sz val="9"/>
            <color indexed="81"/>
            <rFont val="Tahoma"/>
            <family val="2"/>
            <charset val="204"/>
          </rPr>
          <t>Автор:</t>
        </r>
        <r>
          <rPr>
            <sz val="9"/>
            <color indexed="81"/>
            <rFont val="Tahoma"/>
            <family val="2"/>
            <charset val="204"/>
          </rPr>
          <t xml:space="preserve">
204.431.000
011.52.R3032.01
</t>
        </r>
      </text>
    </comment>
    <comment ref="B638" authorId="0" shapeId="0">
      <text>
        <r>
          <rPr>
            <b/>
            <sz val="9"/>
            <color indexed="81"/>
            <rFont val="Tahoma"/>
            <family val="2"/>
            <charset val="204"/>
          </rPr>
          <t>Автор:</t>
        </r>
        <r>
          <rPr>
            <sz val="9"/>
            <color indexed="81"/>
            <rFont val="Tahoma"/>
            <family val="2"/>
            <charset val="204"/>
          </rPr>
          <t xml:space="preserve">
011.51.10500.39
011.52.10500.44</t>
        </r>
      </text>
    </comment>
    <comment ref="B647" authorId="0" shapeId="0">
      <text>
        <r>
          <rPr>
            <b/>
            <sz val="9"/>
            <color indexed="81"/>
            <rFont val="Tahoma"/>
            <family val="2"/>
            <charset val="204"/>
          </rPr>
          <t>Автор:</t>
        </r>
        <r>
          <rPr>
            <sz val="9"/>
            <color indexed="81"/>
            <rFont val="Tahoma"/>
            <family val="2"/>
            <charset val="204"/>
          </rPr>
          <t xml:space="preserve">
011.51.10500.45
</t>
        </r>
      </text>
    </comment>
    <comment ref="B656" authorId="0" shapeId="0">
      <text>
        <r>
          <rPr>
            <b/>
            <sz val="9"/>
            <color indexed="81"/>
            <rFont val="Tahoma"/>
            <family val="2"/>
            <charset val="204"/>
          </rPr>
          <t>Автор:</t>
        </r>
        <r>
          <rPr>
            <sz val="9"/>
            <color indexed="81"/>
            <rFont val="Tahoma"/>
            <family val="2"/>
            <charset val="204"/>
          </rPr>
          <t xml:space="preserve">
011.52.10500.38</t>
        </r>
      </text>
    </comment>
    <comment ref="B665" authorId="0" shapeId="0">
      <text>
        <r>
          <rPr>
            <b/>
            <sz val="9"/>
            <color indexed="81"/>
            <rFont val="Tahoma"/>
            <family val="2"/>
            <charset val="204"/>
          </rPr>
          <t>Автор:</t>
        </r>
        <r>
          <rPr>
            <sz val="9"/>
            <color indexed="81"/>
            <rFont val="Tahoma"/>
            <family val="2"/>
            <charset val="204"/>
          </rPr>
          <t xml:space="preserve">
011.52.10500.43</t>
        </r>
      </text>
    </comment>
    <comment ref="B674" authorId="0" shapeId="0">
      <text>
        <r>
          <rPr>
            <b/>
            <sz val="9"/>
            <color indexed="81"/>
            <rFont val="Tahoma"/>
            <family val="2"/>
            <charset val="204"/>
          </rPr>
          <t>Автор:</t>
        </r>
        <r>
          <rPr>
            <sz val="9"/>
            <color indexed="81"/>
            <rFont val="Tahoma"/>
            <family val="2"/>
            <charset val="204"/>
          </rPr>
          <t xml:space="preserve">
011.52.63540.01
</t>
        </r>
      </text>
    </comment>
    <comment ref="B683" authorId="0" shapeId="0">
      <text>
        <r>
          <rPr>
            <b/>
            <sz val="9"/>
            <color indexed="81"/>
            <rFont val="Tahoma"/>
            <family val="2"/>
            <charset val="204"/>
          </rPr>
          <t>Автор:</t>
        </r>
        <r>
          <rPr>
            <sz val="9"/>
            <color indexed="81"/>
            <rFont val="Tahoma"/>
            <family val="2"/>
            <charset val="204"/>
          </rPr>
          <t xml:space="preserve">
011.52.S3550.01</t>
        </r>
      </text>
    </comment>
    <comment ref="B693" authorId="0" shapeId="0">
      <text>
        <r>
          <rPr>
            <b/>
            <sz val="9"/>
            <color indexed="81"/>
            <rFont val="Tahoma"/>
            <family val="2"/>
            <charset val="204"/>
          </rPr>
          <t>Автор:</t>
        </r>
        <r>
          <rPr>
            <sz val="9"/>
            <color indexed="81"/>
            <rFont val="Tahoma"/>
            <family val="2"/>
            <charset val="204"/>
          </rPr>
          <t xml:space="preserve">
011.EB.51790.01</t>
        </r>
      </text>
    </comment>
    <comment ref="B702" authorId="0" shapeId="0">
      <text>
        <r>
          <rPr>
            <b/>
            <sz val="9"/>
            <color indexed="81"/>
            <rFont val="Tahoma"/>
            <family val="2"/>
            <charset val="204"/>
          </rPr>
          <t>Автор:</t>
        </r>
        <r>
          <rPr>
            <sz val="9"/>
            <color indexed="81"/>
            <rFont val="Tahoma"/>
            <family val="2"/>
            <charset val="204"/>
          </rPr>
          <t xml:space="preserve">
011.52.L7500.01</t>
        </r>
      </text>
    </comment>
    <comment ref="B711" authorId="0" shapeId="0">
      <text>
        <r>
          <rPr>
            <b/>
            <sz val="9"/>
            <color indexed="81"/>
            <rFont val="Tahoma"/>
            <family val="2"/>
            <charset val="204"/>
          </rPr>
          <t>Автор:</t>
        </r>
        <r>
          <rPr>
            <sz val="9"/>
            <color indexed="81"/>
            <rFont val="Tahoma"/>
            <family val="2"/>
            <charset val="204"/>
          </rPr>
          <t xml:space="preserve">
011.ЕВ57860.01</t>
        </r>
      </text>
    </comment>
    <comment ref="B720" authorId="0" shapeId="0">
      <text>
        <r>
          <rPr>
            <b/>
            <sz val="9"/>
            <color indexed="81"/>
            <rFont val="Tahoma"/>
            <family val="2"/>
            <charset val="204"/>
          </rPr>
          <t>Автор:</t>
        </r>
        <r>
          <rPr>
            <sz val="9"/>
            <color indexed="81"/>
            <rFont val="Tahoma"/>
            <family val="2"/>
            <charset val="204"/>
          </rPr>
          <t xml:space="preserve">
011.52.10500.45
</t>
        </r>
      </text>
    </comment>
    <comment ref="B729" authorId="0" shapeId="0">
      <text>
        <r>
          <rPr>
            <b/>
            <sz val="9"/>
            <color indexed="81"/>
            <rFont val="Tahoma"/>
            <family val="2"/>
            <charset val="204"/>
          </rPr>
          <t>Автор:</t>
        </r>
        <r>
          <rPr>
            <sz val="9"/>
            <color indexed="81"/>
            <rFont val="Tahoma"/>
            <family val="2"/>
            <charset val="204"/>
          </rPr>
          <t xml:space="preserve">
011.52.10500.46
</t>
        </r>
      </text>
    </comment>
    <comment ref="B739" authorId="0" shapeId="0">
      <text>
        <r>
          <rPr>
            <b/>
            <sz val="9"/>
            <color indexed="81"/>
            <rFont val="Tahoma"/>
            <family val="2"/>
            <charset val="204"/>
          </rPr>
          <t>Автор:</t>
        </r>
        <r>
          <rPr>
            <sz val="9"/>
            <color indexed="81"/>
            <rFont val="Tahoma"/>
            <family val="2"/>
            <charset val="204"/>
          </rPr>
          <t xml:space="preserve">
ЦСР 011Е164800
</t>
        </r>
      </text>
    </comment>
    <comment ref="B748" authorId="0" shapeId="0">
      <text>
        <r>
          <rPr>
            <b/>
            <sz val="9"/>
            <color indexed="81"/>
            <rFont val="Tahoma"/>
            <family val="2"/>
            <charset val="204"/>
          </rPr>
          <t>Автор:</t>
        </r>
        <r>
          <rPr>
            <sz val="9"/>
            <color indexed="81"/>
            <rFont val="Tahoma"/>
            <family val="2"/>
            <charset val="204"/>
          </rPr>
          <t xml:space="preserve">
ЦСР 011Е164800
011.52.10500.47</t>
        </r>
      </text>
    </comment>
    <comment ref="B757" authorId="0" shapeId="0">
      <text>
        <r>
          <rPr>
            <b/>
            <sz val="9"/>
            <color indexed="81"/>
            <rFont val="Tahoma"/>
            <family val="2"/>
            <charset val="204"/>
          </rPr>
          <t>Автор:</t>
        </r>
        <r>
          <rPr>
            <sz val="9"/>
            <color indexed="81"/>
            <rFont val="Tahoma"/>
            <family val="2"/>
            <charset val="204"/>
          </rPr>
          <t xml:space="preserve">
ЦСР 011Е164800
011.52.10500.48</t>
        </r>
      </text>
    </comment>
    <comment ref="B766" authorId="0" shapeId="0">
      <text>
        <r>
          <rPr>
            <b/>
            <sz val="9"/>
            <color indexed="81"/>
            <rFont val="Tahoma"/>
            <charset val="1"/>
          </rPr>
          <t>Автор:</t>
        </r>
        <r>
          <rPr>
            <sz val="9"/>
            <color indexed="81"/>
            <rFont val="Tahoma"/>
            <charset val="1"/>
          </rPr>
          <t xml:space="preserve">
ЦСР 0115020230</t>
        </r>
      </text>
    </comment>
    <comment ref="B775" authorId="0" shapeId="0">
      <text>
        <r>
          <rPr>
            <b/>
            <sz val="9"/>
            <color indexed="81"/>
            <rFont val="Tahoma"/>
            <family val="2"/>
            <charset val="204"/>
          </rPr>
          <t>Автор:</t>
        </r>
        <r>
          <rPr>
            <sz val="9"/>
            <color indexed="81"/>
            <rFont val="Tahoma"/>
            <family val="2"/>
            <charset val="204"/>
          </rPr>
          <t xml:space="preserve">
011.51.10500.47
011.52.10500.41</t>
        </r>
      </text>
    </comment>
    <comment ref="B784" authorId="0" shapeId="0">
      <text>
        <r>
          <rPr>
            <b/>
            <sz val="9"/>
            <color indexed="81"/>
            <rFont val="Tahoma"/>
            <family val="2"/>
            <charset val="204"/>
          </rPr>
          <t>Автор:</t>
        </r>
        <r>
          <rPr>
            <sz val="9"/>
            <color indexed="81"/>
            <rFont val="Tahoma"/>
            <family val="2"/>
            <charset val="204"/>
          </rPr>
          <t xml:space="preserve">
011.52.S3550.01</t>
        </r>
      </text>
    </comment>
    <comment ref="B794" authorId="0" shapeId="0">
      <text>
        <r>
          <rPr>
            <b/>
            <sz val="9"/>
            <color indexed="81"/>
            <rFont val="Tahoma"/>
            <family val="2"/>
            <charset val="204"/>
          </rPr>
          <t>Автор:</t>
        </r>
        <r>
          <rPr>
            <sz val="9"/>
            <color indexed="81"/>
            <rFont val="Tahoma"/>
            <family val="2"/>
            <charset val="204"/>
          </rPr>
          <t xml:space="preserve">
011.EB.51790.01</t>
        </r>
      </text>
    </comment>
    <comment ref="B803" authorId="0" shapeId="0">
      <text>
        <r>
          <rPr>
            <b/>
            <sz val="9"/>
            <color indexed="81"/>
            <rFont val="Tahoma"/>
            <family val="2"/>
            <charset val="204"/>
          </rPr>
          <t>Автор:</t>
        </r>
        <r>
          <rPr>
            <sz val="9"/>
            <color indexed="81"/>
            <rFont val="Tahoma"/>
            <family val="2"/>
            <charset val="204"/>
          </rPr>
          <t xml:space="preserve">
011.EB57860.01</t>
        </r>
      </text>
    </comment>
    <comment ref="B812" authorId="0" shapeId="0">
      <text>
        <r>
          <rPr>
            <b/>
            <sz val="9"/>
            <color indexed="81"/>
            <rFont val="Tahoma"/>
            <family val="2"/>
            <charset val="204"/>
          </rPr>
          <t>Автор:</t>
        </r>
        <r>
          <rPr>
            <sz val="9"/>
            <color indexed="81"/>
            <rFont val="Tahoma"/>
            <family val="2"/>
            <charset val="204"/>
          </rPr>
          <t xml:space="preserve">
011.51.S3410.01
</t>
        </r>
      </text>
    </comment>
    <comment ref="B824" authorId="0" shapeId="0">
      <text>
        <r>
          <rPr>
            <b/>
            <sz val="9"/>
            <color indexed="81"/>
            <rFont val="Tahoma"/>
            <family val="2"/>
            <charset val="204"/>
          </rPr>
          <t>Автор:</t>
        </r>
        <r>
          <rPr>
            <sz val="9"/>
            <color indexed="81"/>
            <rFont val="Tahoma"/>
            <family val="2"/>
            <charset val="204"/>
          </rPr>
          <t xml:space="preserve">
ЦБ,ИМЦ,ПМПК
</t>
        </r>
      </text>
    </comment>
    <comment ref="B833" authorId="0" shapeId="0">
      <text>
        <r>
          <rPr>
            <b/>
            <sz val="9"/>
            <color indexed="81"/>
            <rFont val="Tahoma"/>
            <family val="2"/>
            <charset val="204"/>
          </rPr>
          <t>Автор:</t>
        </r>
        <r>
          <rPr>
            <sz val="9"/>
            <color indexed="81"/>
            <rFont val="Tahoma"/>
            <family val="2"/>
            <charset val="204"/>
          </rPr>
          <t xml:space="preserve">
УО
ЦСР КБ 0110660860
МБ 0110600190</t>
        </r>
      </text>
    </comment>
  </commentList>
</comments>
</file>

<file path=xl/sharedStrings.xml><?xml version="1.0" encoding="utf-8"?>
<sst xmlns="http://schemas.openxmlformats.org/spreadsheetml/2006/main" count="461" uniqueCount="349">
  <si>
    <t>№ п/п/</t>
  </si>
  <si>
    <t>Наименование мероприятия</t>
  </si>
  <si>
    <t>Непосредственный результат реализации мероприятий</t>
  </si>
  <si>
    <t>1.</t>
  </si>
  <si>
    <t>Цель</t>
  </si>
  <si>
    <t>Задача</t>
  </si>
  <si>
    <t>Формирование условий для повышения качества, доступности, устойчивого функционирования и развития системы образования Северского района</t>
  </si>
  <si>
    <t>Создание условий для введения новых федеральных государственных образовательных стандартов</t>
  </si>
  <si>
    <t>1. Создание условий для обеспечения инновационного характера образования</t>
  </si>
  <si>
    <t>Местный бюджет</t>
  </si>
  <si>
    <t>В том числе, обеспечение условия предоставления субсидии</t>
  </si>
  <si>
    <t>Приобретение автобусов и микроавтобусов для муниципальных образовательных организаций</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</si>
  <si>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</si>
  <si>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Приобретение автобусов и микроавтобусов для обеспечения подвоза учащихся</t>
  </si>
  <si>
    <t>ИТОГО</t>
  </si>
  <si>
    <t>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</si>
  <si>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</si>
  <si>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</si>
  <si>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</si>
  <si>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t>
  </si>
  <si>
    <t>Приложение №2</t>
  </si>
  <si>
    <t>к муниципальной программе</t>
  </si>
  <si>
    <t>Внебюджетные средства</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</si>
  <si>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</si>
  <si>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</si>
  <si>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</si>
  <si>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Администрация муниципального образования Северский район, управление образования</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</si>
  <si>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</si>
  <si>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</si>
  <si>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</si>
  <si>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</si>
  <si>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2.Модернизация образования как института воспитания и социального развития</t>
  </si>
  <si>
    <t>2.1</t>
  </si>
  <si>
    <t>2.2</t>
  </si>
  <si>
    <t>Организация мероприятий, направленных на повышение престижа отрасли</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</si>
  <si>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</si>
  <si>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</si>
  <si>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Повышение престижа</t>
  </si>
  <si>
    <t>Администрация муниципального образования Северский район, управление образования, образовательные организации</t>
  </si>
  <si>
    <t>3.</t>
  </si>
  <si>
    <t>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</si>
  <si>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Обеспечение системы образования Северского района высококвалифицированными кадрами, повышение их социального и профессионального уровня</t>
  </si>
  <si>
    <t>3. Повышение социального и профессионального уровня работников образования, 
формирование современной системы непрерывного образования</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</si>
  <si>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</si>
  <si>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3.1</t>
  </si>
  <si>
    <t>Проведение, участие в конкурсах, семинарах, выставках, совещаниях, форумах, профессиональных праздниках и др.</t>
  </si>
  <si>
    <t>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</si>
  <si>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</si>
  <si>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4.</t>
  </si>
  <si>
    <t>4. Финансовое обеспечение деятельности образовательных организаций</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</si>
  <si>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</si>
  <si>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</si>
  <si>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в том числе:
расходы на обеспечение деятельности муниципальных учреждений (муниципальное задание);</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</si>
  <si>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</si>
  <si>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</si>
  <si>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</si>
  <si>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</si>
  <si>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</si>
  <si>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</si>
  <si>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в том числе:
расходы на обеспечение деятельности муниципальных учреждений, (муниципальное задание);</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</si>
  <si>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</si>
  <si>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</si>
  <si>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</si>
  <si>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прочие расходы:
- родительская плата за питание обучающихся в муниципальных общеобразовательных организациях</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</si>
  <si>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</si>
  <si>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</si>
  <si>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</si>
  <si>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</si>
  <si>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</si>
  <si>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</si>
  <si>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</si>
  <si>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t>
  </si>
  <si>
    <t>В соответствии с нормативно-правовыми актами</t>
  </si>
  <si>
    <t>4.5</t>
  </si>
  <si>
    <t>Предоставление субсидий на финансовое обеспечение получения дошкольного образования в частных дошкольных образовательных организациях, включающим расходы на предоставление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</si>
  <si>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</si>
  <si>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</si>
  <si>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</si>
  <si>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</si>
  <si>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</si>
  <si>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</si>
  <si>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</si>
  <si>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</si>
  <si>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</si>
  <si>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 xml:space="preserve">Администрация муниципального образования Северский район, управление образования, образовательные организации
</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</si>
  <si>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</si>
  <si>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</si>
  <si>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</si>
  <si>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</si>
  <si>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</si>
  <si>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</si>
  <si>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</si>
  <si>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</si>
  <si>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</si>
  <si>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</si>
  <si>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</si>
  <si>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</si>
  <si>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</si>
  <si>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</si>
  <si>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4.13</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</si>
  <si>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</si>
  <si>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</si>
  <si>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</si>
  <si>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</si>
  <si>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</si>
  <si>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</si>
  <si>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</si>
  <si>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</si>
  <si>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</si>
  <si>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</si>
  <si>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</si>
  <si>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</si>
  <si>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</si>
  <si>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</si>
  <si>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 xml:space="preserve">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 </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</si>
  <si>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</si>
  <si>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Подготовка спортивных площадок к новому учебному году</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</si>
  <si>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</si>
  <si>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4.20</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</si>
  <si>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</si>
  <si>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</si>
  <si>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</si>
  <si>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Обеспечение благоустройства муниципальных организаций</t>
  </si>
  <si>
    <t>Предоставление субсидий образовательным организациям на оснащение спортивных площадок на территории образовательных организаций</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</si>
  <si>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</si>
  <si>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</si>
  <si>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</si>
  <si>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Администрация муниципального образования Северский район, управление, образовательные организации</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</si>
  <si>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</si>
  <si>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</si>
  <si>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</si>
  <si>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Предоставление субсидий образовательным организациям на оснащение медицинских кабинетов</t>
  </si>
  <si>
    <t>4.25</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</si>
  <si>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</si>
  <si>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</si>
  <si>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</si>
  <si>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</si>
  <si>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</si>
  <si>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</si>
  <si>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Администрация муниципального образования Северский район, управление, Министерство образования, науки и молодежной политики Краснодарского края, образовательные организации</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</si>
  <si>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</si>
  <si>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</si>
  <si>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</si>
  <si>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</si>
  <si>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</si>
  <si>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</si>
  <si>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Капитальный ремонт зданий и сооружений, благоустройство территорий, прилегающих к зданиям и сооружениям муниципальных образовательных организаций</t>
  </si>
  <si>
    <t>4.31</t>
  </si>
  <si>
    <t xml:space="preserve">Обновление
материально-технической базы для формирования у обучающихся современных технологических и гуманитарных навыков
</t>
  </si>
  <si>
    <t>4.32</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</si>
  <si>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</si>
  <si>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</si>
  <si>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</si>
  <si>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</si>
  <si>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</si>
  <si>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</si>
  <si>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</si>
  <si>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</si>
  <si>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 xml:space="preserve">2) Подготовка к осенне-зимнему периоду
</t>
  </si>
  <si>
    <t>Обеспечение готовности организаций к осенне-зимнему периоду</t>
  </si>
  <si>
    <t>Администрация муниципального образования Северский район, структурные подразделения администрации</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</si>
  <si>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</si>
  <si>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</si>
  <si>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</si>
  <si>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4.37</t>
  </si>
  <si>
    <t>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</si>
  <si>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</si>
  <si>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</si>
  <si>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</si>
  <si>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</si>
  <si>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</si>
  <si>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</si>
  <si>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</si>
  <si>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</si>
  <si>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</si>
  <si>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</si>
  <si>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</si>
  <si>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</si>
  <si>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</si>
  <si>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</si>
  <si>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</si>
  <si>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Совершенствование системы управления в сфере образования муниципального района</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</si>
  <si>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</si>
  <si>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</si>
  <si>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</si>
  <si>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</si>
  <si>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</si>
  <si>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приобретение ГСМ для осуществления поездок, не включенных в расчет нормативных затрат на оказание муниципальных услуг(выполнение работ)</t>
  </si>
  <si>
    <t>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</si>
  <si>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</si>
  <si>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</si>
  <si>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</si>
  <si>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</si>
  <si>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</si>
  <si>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Год реализации</t>
  </si>
  <si>
    <t>Оплату услуг по доставке пищи и пишеприготовлению, в том числе: оплата кредиторской задолженности</t>
  </si>
  <si>
    <t xml:space="preserve">Начальник управления образования  </t>
  </si>
  <si>
    <t>Л.В. Мазько</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</si>
  <si>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</si>
  <si>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Обеспечение государственных гарантий реализации прав на получение дополнительного образования детей</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</si>
  <si>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</si>
  <si>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 xml:space="preserve">Организация бесплатного горячего питания обучающихся 1-4 классах,       в том числе: оплата кредиторской задолженности
</t>
  </si>
  <si>
    <t>Выплата ежемесячной компенсационной денежной выплаты на питание обучающихся детей- инвалидов, получающих образование на дому</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</si>
  <si>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</si>
  <si>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</si>
  <si>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</si>
  <si>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Объем финансирования, всего тыс.руб.</t>
  </si>
  <si>
    <t>Источник финансирования, тыс.руб.</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</si>
  <si>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</si>
  <si>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на иные цели:                                                                                        - осуществление иных выплат (доплат)</t>
  </si>
  <si>
    <t xml:space="preserve">
-подвоз учащихся, в т.ч. ГСМ;</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</si>
  <si>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</si>
  <si>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на иные цели:
-осуществление иных выплат (доплат)</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</si>
  <si>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</si>
  <si>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 текущих ремонтов), возмещение данных понесенных расходов, прочие расходы</t>
  </si>
  <si>
    <t>4.19</t>
  </si>
  <si>
    <t>4.22</t>
  </si>
  <si>
    <t>4.26</t>
  </si>
  <si>
    <t>4.36</t>
  </si>
  <si>
    <t xml:space="preserve">Обеспечение бесплатным двухразовым питанием детей-инвалидов (инвалидов),                                         в том числе: оплата кредиторской задолженности
</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</si>
  <si>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</si>
  <si>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Предоставление субсидий образовательным организациям на 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</si>
  <si>
    <t>Приобретение товаров(работ,услуг) в целях оснащения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</si>
  <si>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</si>
  <si>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</si>
  <si>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Бюджет Краснодарского края</t>
  </si>
  <si>
    <t>4.44</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</si>
  <si>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</si>
  <si>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</si>
  <si>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4.45</t>
  </si>
  <si>
    <t>4.46</t>
  </si>
  <si>
    <t>4.47</t>
  </si>
  <si>
    <t>4.48</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</si>
  <si>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</si>
  <si>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</si>
  <si>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</si>
  <si>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</si>
  <si>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Федеральный бюджет</t>
  </si>
  <si>
    <t>№ п/п</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</si>
  <si>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</si>
  <si>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</si>
  <si>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</si>
  <si>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</si>
  <si>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</si>
  <si>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</si>
  <si>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</si>
  <si>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</si>
  <si>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</si>
  <si>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</si>
  <si>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</si>
  <si>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</si>
  <si>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</si>
  <si>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</si>
  <si>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</si>
  <si>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</si>
  <si>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</si>
  <si>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</si>
  <si>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</si>
  <si>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</si>
  <si>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</si>
  <si>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</si>
  <si>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</si>
  <si>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</si>
  <si>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</si>
  <si>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</si>
  <si>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</si>
  <si>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</si>
  <si>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</si>
  <si>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</si>
  <si>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</si>
  <si>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</si>
  <si>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</si>
  <si>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</si>
  <si>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</si>
  <si>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</si>
  <si>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</si>
  <si>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</si>
  <si>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</si>
  <si>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</si>
  <si>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</si>
  <si>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</si>
  <si>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</si>
  <si>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</si>
  <si>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</si>
  <si>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</si>
  <si>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</si>
  <si>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</si>
  <si>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</si>
  <si>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</si>
  <si>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</si>
  <si>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</si>
  <si>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</si>
  <si>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</si>
  <si>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</si>
  <si>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</si>
  <si>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</si>
  <si>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</si>
  <si>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</si>
  <si>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</si>
  <si>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</si>
  <si>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</si>
  <si>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</si>
  <si>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</si>
  <si>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</si>
  <si>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</si>
  <si>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</si>
  <si>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</si>
  <si>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</si>
  <si>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Начальник управления образования</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</si>
  <si>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</si>
  <si>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</si>
  <si>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Муниципальный заказчик  мероприрятия, получатель субсидий(субвенций), ответственный за выполнение мероприятий, исполнитель</t>
  </si>
  <si>
    <t>Подготовка к отопительному сезону</t>
  </si>
  <si>
    <t>1</t>
  </si>
  <si>
    <t xml:space="preserve">Обеспечение питанием учащихся из многодетных семей из расчета по 10 рублей в день, в том числе: оплата кредиторской задолженности
</t>
  </si>
  <si>
    <t>4.50</t>
  </si>
  <si>
    <t>Ремонт и (или) оснащение помещений</t>
  </si>
  <si>
    <t>31.</t>
  </si>
  <si>
    <t>Количество оснащенных и (или) отремонтированных помещий образовательных организаций для создания "Центра детских инициатив"</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</si>
  <si>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</si>
  <si>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муниципальный социальный заказ на оказание муниципальных услуг в социальной сфере</t>
  </si>
  <si>
    <t>4.51</t>
  </si>
  <si>
    <t>Перечень основных мероприятий муниципальной программы                                         " Развитие образования" на 2018-2026 годы"</t>
  </si>
  <si>
    <t>"Развитие образования" на 2018-2026 годы"</t>
  </si>
  <si>
    <t>Финансовое обеспечение затрат, связанных с оказанием
услуг</t>
  </si>
  <si>
    <t xml:space="preserve">Предоставление субсидий образовательным организациям  на грант в форме субсидии на:  оказание психолого-педагогической, методической и консультативной помощи гражданам, имеющим детей, в рамках реализации мероприятий регионального проекта "Современная школа"
</t>
  </si>
  <si>
    <t>5) Предоставление грантов в форме субсидий в части персонифицированного финансирования,                           социального заказа</t>
  </si>
  <si>
    <t>4.52</t>
  </si>
  <si>
    <t>4.53</t>
  </si>
  <si>
    <t xml:space="preserve">Предоставление субсидий образовательным организациям  на демонтажные работы, утилизацию здания (в том числе разработка ПСД и т.д.)
</t>
  </si>
  <si>
    <t xml:space="preserve">Предоставление субсидий образовательным организациям  на осуществление компенсационной денежной выплаты обучающимся детям-инвалидам не являющихся обучающимися с ограниченными возможностями здоровья, нуждающихся в лечебном и диетическом питании, получающим начальное, общее, основное общее и среднее общее образование, получающих образование в общеобразовательных организациях
</t>
  </si>
  <si>
    <t xml:space="preserve">Выплата ежемесячной денежной выплаты
</t>
  </si>
  <si>
    <t>4.54</t>
  </si>
  <si>
    <t>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</si>
  <si>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4.55</t>
  </si>
  <si>
    <t>4.56</t>
  </si>
  <si>
    <t>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t>
  </si>
  <si>
    <t>4.57</t>
  </si>
  <si>
    <t>4.58</t>
  </si>
  <si>
    <t>Предоставление субсидий образовательным организациям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</si>
  <si>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4.59</t>
  </si>
  <si>
    <t>Предоставление субсидий образовательным организациям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проведения капитальных ремонтов помещений, зданий, сооружений муниципальных образовательных организаций, включая капитальный ремонт спортивных залов, в том числе помещений при них, других помещений физкультурно-спортивного назначения, физкультурно-оздоровительных комплексов,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</si>
  <si>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</si>
  <si>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Предоставление субсидий образовательным организациям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целях обеспечения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</si>
  <si>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Устройство, строительство, реконструкция, обустройство объектов, благоустройство территорий, расположенных на территории образовательных организаций </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</si>
  <si>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</si>
  <si>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 муниципального образования Северский район                                                       в т.ч. предоставление субсидий</t>
  </si>
  <si>
    <t xml:space="preserve">Капитальный ремонт зданий </t>
  </si>
  <si>
    <t xml:space="preserve">****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</si>
</sst>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р_._-;\-* #,##0.00_р_._-;_-* &quot;-&quot;??_р_._-;_-@_-"/>
    <numFmt numFmtId="164" formatCode="#,##0.0"/>
  </numFmts>
  <fonts count="33" x14ac:knownFonts="1">
    <font>
      <sz val="11"/>
      <color theme="1"/>
      <name val="Calibri"/>
      <family val="2"/>
      <scheme val="minor"/>
    </font>
    <font>
      <sz val="11"/>
      <color theme="1"/>
      <name val="Calibri"/>
      <family val="2"/>
      <scheme val="minor"/>
    </font>
    <font>
      <sz val="13"/>
      <color theme="1"/>
      <name val="Calibri"/>
      <family val="2"/>
      <scheme val="minor"/>
    </font>
    <font>
      <b/>
      <sz val="13"/>
      <color theme="1"/>
      <name val="Times New Roman"/>
      <family val="1"/>
      <charset val="204"/>
    </font>
    <font>
      <sz val="13"/>
      <color theme="1"/>
      <name val="Times New Roman"/>
      <family val="1"/>
      <charset val="204"/>
    </font>
    <font>
      <sz val="14"/>
      <color theme="1"/>
      <name val="Times New Roman"/>
      <family val="1"/>
      <charset val="204"/>
    </font>
    <font>
      <sz val="16"/>
      <color theme="1"/>
      <name val="Times New Roman"/>
      <family val="1"/>
      <charset val="204"/>
    </font>
    <font>
      <sz val="16"/>
      <color theme="1"/>
      <name val="Calibri"/>
      <family val="2"/>
      <scheme val="minor"/>
    </font>
    <font>
      <sz val="24"/>
      <color theme="1"/>
      <name val="Times New Roman"/>
      <family val="1"/>
      <charset val="204"/>
    </font>
    <font>
      <b/>
      <sz val="14"/>
      <color theme="1"/>
      <name val="Times New Roman"/>
      <family val="1"/>
      <charset val="204"/>
    </font>
    <font>
      <b/>
      <sz val="22"/>
      <color theme="1"/>
      <name val="Times New Roman"/>
      <family val="1"/>
      <charset val="204"/>
    </font>
    <font>
      <sz val="13"/>
      <name val="Times New Roman"/>
      <family val="1"/>
      <charset val="204"/>
    </font>
    <font>
      <sz val="9"/>
      <color indexed="81"/>
      <name val="Tahoma"/>
      <family val="2"/>
      <charset val="204"/>
    </font>
    <font>
      <b/>
      <sz val="9"/>
      <color indexed="81"/>
      <name val="Tahoma"/>
      <family val="2"/>
      <charset val="204"/>
    </font>
    <font>
      <sz val="11"/>
      <color indexed="81"/>
      <name val="Tahoma"/>
      <family val="2"/>
      <charset val="204"/>
    </font>
    <font>
      <sz val="12"/>
      <color indexed="81"/>
      <name val="Tahoma"/>
      <family val="2"/>
      <charset val="204"/>
    </font>
    <font>
      <sz val="14"/>
      <color indexed="81"/>
      <name val="Tahoma"/>
      <family val="2"/>
      <charset val="204"/>
    </font>
    <font>
      <sz val="16"/>
      <color indexed="81"/>
      <name val="Tahoma"/>
      <family val="2"/>
      <charset val="204"/>
    </font>
    <font>
      <b/>
      <sz val="11"/>
      <color indexed="81"/>
      <name val="Tahoma"/>
      <family val="2"/>
      <charset val="204"/>
    </font>
    <font>
      <b/>
      <sz val="12"/>
      <color indexed="81"/>
      <name val="Tahoma"/>
      <family val="2"/>
      <charset val="204"/>
    </font>
    <font>
      <b/>
      <sz val="14"/>
      <color indexed="81"/>
      <name val="Tahoma"/>
      <family val="2"/>
      <charset val="204"/>
    </font>
    <font>
      <b/>
      <sz val="16"/>
      <color indexed="81"/>
      <name val="Tahoma"/>
      <family val="2"/>
      <charset val="204"/>
    </font>
    <font>
      <sz val="12"/>
      <color theme="1"/>
      <name val="Times New Roman"/>
      <family val="1"/>
      <charset val="204"/>
    </font>
    <font>
      <sz val="14"/>
      <color theme="1"/>
      <name val="Calibri"/>
      <family val="2"/>
      <scheme val="minor"/>
    </font>
    <font>
      <sz val="14"/>
      <color rgb="FF404040"/>
      <name val="Times New Roman"/>
      <family val="1"/>
      <charset val="204"/>
    </font>
    <font>
      <sz val="14"/>
      <color rgb="FF000000"/>
      <name val="Times New Roman"/>
      <family val="1"/>
      <charset val="204"/>
    </font>
    <font>
      <b/>
      <sz val="11"/>
      <color theme="1"/>
      <name val="Calibri"/>
      <family val="2"/>
      <scheme val="minor"/>
    </font>
    <font>
      <b/>
      <sz val="11"/>
      <color theme="1"/>
      <name val="Times New Roman"/>
      <family val="1"/>
      <charset val="204"/>
    </font>
    <font>
      <sz val="13"/>
      <color rgb="FFFF0000"/>
      <name val="Times New Roman"/>
      <family val="1"/>
      <charset val="204"/>
    </font>
    <font>
      <b/>
      <sz val="13"/>
      <color rgb="FFFF0000"/>
      <name val="Times New Roman"/>
      <family val="1"/>
      <charset val="204"/>
    </font>
    <font>
      <b/>
      <sz val="13"/>
      <name val="Times New Roman"/>
      <family val="1"/>
      <charset val="204"/>
    </font>
    <font>
      <sz val="9"/>
      <color indexed="81"/>
      <name val="Tahoma"/>
      <charset val="1"/>
    </font>
    <font>
      <b/>
      <sz val="9"/>
      <color indexed="81"/>
      <name val="Tahoma"/>
      <charset val="1"/>
    </font>
  </fonts>
  <fills count="3">
    <fill>
      <patternFill patternType="none"/>
    </fill>
    <fill>
      <patternFill patternType="gray125"/>
    </fill>
    <fill>
      <patternFill patternType="solid">
        <fgColor theme="0"/>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425">
    <xf numFmtId="0" fontId="0" fillId="0" borderId="0" xfId="0"/>
    <xf numFmtId="0" fontId="0" fillId="0" borderId="21" xfId="0" applyBorder="1"/>
    <xf numFmtId="0" fontId="0" fillId="0" borderId="0" xfId="0" applyBorder="1"/>
    <xf numFmtId="0" fontId="0" fillId="0" borderId="22" xfId="0" applyBorder="1"/>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4" xfId="0" applyFont="1" applyFill="1" applyBorder="1"/>
    <xf numFmtId="0" fontId="3" fillId="0" borderId="15" xfId="0" applyFont="1" applyFill="1" applyBorder="1" applyAlignment="1">
      <alignment horizontal="center" vertical="center"/>
    </xf>
    <xf numFmtId="0" fontId="4" fillId="0" borderId="8" xfId="0" applyFont="1" applyFill="1" applyBorder="1"/>
    <xf numFmtId="0" fontId="0" fillId="0" borderId="0" xfId="0" applyFill="1"/>
    <xf numFmtId="0" fontId="4" fillId="0" borderId="19" xfId="0" applyFont="1" applyFill="1" applyBorder="1"/>
    <xf numFmtId="0" fontId="3" fillId="0" borderId="12" xfId="0" applyFont="1" applyFill="1" applyBorder="1" applyAlignment="1">
      <alignment horizontal="center"/>
    </xf>
    <xf numFmtId="0" fontId="3" fillId="0" borderId="13" xfId="0" applyFont="1" applyFill="1" applyBorder="1" applyAlignment="1">
      <alignment horizontal="center"/>
    </xf>
    <xf numFmtId="0" fontId="3" fillId="0" borderId="51" xfId="0" applyFont="1" applyFill="1" applyBorder="1" applyAlignment="1">
      <alignment horizontal="center"/>
    </xf>
    <xf numFmtId="0" fontId="3" fillId="0" borderId="57" xfId="0" applyFont="1" applyFill="1" applyBorder="1" applyAlignment="1">
      <alignment horizontal="center"/>
    </xf>
    <xf numFmtId="0" fontId="3" fillId="0" borderId="23" xfId="0" applyFont="1" applyFill="1" applyBorder="1" applyAlignment="1">
      <alignment horizontal="center"/>
    </xf>
    <xf numFmtId="0" fontId="4" fillId="0" borderId="46" xfId="0" applyFont="1" applyFill="1" applyBorder="1"/>
    <xf numFmtId="0" fontId="4" fillId="0" borderId="33" xfId="0" applyFont="1" applyFill="1" applyBorder="1"/>
    <xf numFmtId="164" fontId="4" fillId="0" borderId="4" xfId="0" applyNumberFormat="1" applyFont="1" applyFill="1" applyBorder="1" applyAlignment="1">
      <alignment horizontal="center" vertical="center"/>
    </xf>
    <xf numFmtId="164" fontId="4" fillId="0" borderId="1" xfId="0" applyNumberFormat="1" applyFont="1" applyFill="1" applyBorder="1" applyAlignment="1">
      <alignment horizontal="center" vertical="center"/>
    </xf>
    <xf numFmtId="164" fontId="4" fillId="0" borderId="2" xfId="0" applyNumberFormat="1" applyFont="1" applyFill="1" applyBorder="1" applyAlignment="1">
      <alignment horizontal="center" vertical="center"/>
    </xf>
    <xf numFmtId="164" fontId="4" fillId="0" borderId="8" xfId="0" applyNumberFormat="1" applyFont="1" applyFill="1" applyBorder="1" applyAlignment="1">
      <alignment horizontal="center" vertical="center"/>
    </xf>
    <xf numFmtId="164" fontId="4" fillId="0" borderId="14" xfId="0" applyNumberFormat="1" applyFont="1" applyFill="1" applyBorder="1" applyAlignment="1">
      <alignment horizontal="center" vertical="center"/>
    </xf>
    <xf numFmtId="164" fontId="4" fillId="0" borderId="1" xfId="0" applyNumberFormat="1" applyFont="1" applyFill="1" applyBorder="1" applyAlignment="1">
      <alignment horizontal="center" vertical="top" wrapText="1"/>
    </xf>
    <xf numFmtId="164" fontId="4" fillId="0" borderId="14" xfId="0" applyNumberFormat="1" applyFont="1" applyFill="1" applyBorder="1" applyAlignment="1">
      <alignment horizontal="center" vertical="top" wrapText="1"/>
    </xf>
    <xf numFmtId="164" fontId="4" fillId="0" borderId="2" xfId="0" applyNumberFormat="1" applyFont="1" applyFill="1" applyBorder="1" applyAlignment="1">
      <alignment horizontal="center" vertical="top" wrapText="1"/>
    </xf>
    <xf numFmtId="164" fontId="3" fillId="0" borderId="3" xfId="0" applyNumberFormat="1" applyFont="1" applyFill="1" applyBorder="1" applyAlignment="1">
      <alignment horizontal="center" vertical="center"/>
    </xf>
    <xf numFmtId="164" fontId="3" fillId="0" borderId="4" xfId="0" applyNumberFormat="1" applyFont="1" applyFill="1" applyBorder="1" applyAlignment="1">
      <alignment horizontal="right" vertical="top" wrapText="1"/>
    </xf>
    <xf numFmtId="0" fontId="0" fillId="2" borderId="0" xfId="0" applyFill="1"/>
    <xf numFmtId="164" fontId="0" fillId="0" borderId="0" xfId="0" applyNumberFormat="1"/>
    <xf numFmtId="0" fontId="3" fillId="0" borderId="19" xfId="0" applyFont="1" applyFill="1" applyBorder="1" applyAlignment="1">
      <alignment horizontal="center" vertical="center"/>
    </xf>
    <xf numFmtId="0" fontId="4" fillId="0" borderId="8" xfId="0" applyFont="1" applyFill="1" applyBorder="1" applyAlignment="1">
      <alignment horizontal="left" vertical="center" wrapText="1"/>
    </xf>
    <xf numFmtId="0" fontId="4"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0" fillId="0" borderId="14" xfId="0" applyFill="1" applyBorder="1" applyAlignment="1">
      <alignment horizontal="left" vertical="center" wrapText="1"/>
    </xf>
    <xf numFmtId="0" fontId="3" fillId="0" borderId="3" xfId="0" applyFont="1" applyFill="1" applyBorder="1" applyAlignment="1">
      <alignment horizontal="right"/>
    </xf>
    <xf numFmtId="164" fontId="4" fillId="0" borderId="16" xfId="0" applyNumberFormat="1" applyFont="1" applyFill="1" applyBorder="1" applyAlignment="1">
      <alignment horizontal="center" vertical="center"/>
    </xf>
    <xf numFmtId="164" fontId="4" fillId="0" borderId="18" xfId="0" applyNumberFormat="1" applyFont="1" applyFill="1" applyBorder="1" applyAlignment="1">
      <alignment horizontal="center" vertical="center"/>
    </xf>
    <xf numFmtId="0" fontId="4" fillId="0" borderId="4" xfId="0" applyFont="1" applyFill="1" applyBorder="1" applyAlignment="1">
      <alignment horizontal="center" vertical="center"/>
    </xf>
    <xf numFmtId="164" fontId="11" fillId="0" borderId="1" xfId="0" applyNumberFormat="1" applyFont="1" applyFill="1" applyBorder="1" applyAlignment="1">
      <alignment horizontal="center" vertical="center"/>
    </xf>
    <xf numFmtId="0" fontId="3" fillId="0" borderId="23" xfId="0" applyFont="1" applyFill="1" applyBorder="1" applyAlignment="1">
      <alignment horizontal="center" vertical="center"/>
    </xf>
    <xf numFmtId="0" fontId="4" fillId="0" borderId="36" xfId="0" applyFont="1" applyFill="1" applyBorder="1"/>
    <xf numFmtId="16" fontId="4" fillId="0" borderId="8" xfId="0" applyNumberFormat="1" applyFont="1" applyFill="1" applyBorder="1" applyAlignment="1">
      <alignment horizontal="center" vertical="top" wrapText="1"/>
    </xf>
    <xf numFmtId="0" fontId="4" fillId="0" borderId="48" xfId="0" applyFont="1" applyFill="1" applyBorder="1"/>
    <xf numFmtId="164" fontId="4" fillId="2" borderId="1" xfId="0" applyNumberFormat="1" applyFont="1" applyFill="1" applyBorder="1" applyAlignment="1">
      <alignment horizontal="center" vertical="top" wrapText="1"/>
    </xf>
    <xf numFmtId="164" fontId="4" fillId="2" borderId="1" xfId="0" applyNumberFormat="1" applyFont="1" applyFill="1" applyBorder="1" applyAlignment="1">
      <alignment horizontal="center" vertical="center"/>
    </xf>
    <xf numFmtId="164" fontId="4" fillId="0" borderId="1"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xf>
    <xf numFmtId="0" fontId="0" fillId="0" borderId="2" xfId="0" applyFill="1" applyBorder="1" applyAlignment="1">
      <alignment horizontal="left" vertical="center" wrapText="1"/>
    </xf>
    <xf numFmtId="0" fontId="3" fillId="0" borderId="0" xfId="0" applyFont="1" applyFill="1" applyBorder="1" applyAlignment="1">
      <alignment horizontal="right" vertical="top"/>
    </xf>
    <xf numFmtId="164" fontId="3" fillId="0" borderId="0" xfId="0" applyNumberFormat="1" applyFont="1" applyFill="1" applyBorder="1"/>
    <xf numFmtId="0" fontId="4" fillId="0" borderId="0" xfId="0" applyFont="1" applyFill="1" applyBorder="1" applyAlignment="1">
      <alignment horizontal="center" vertical="top"/>
    </xf>
    <xf numFmtId="0" fontId="23" fillId="0" borderId="44" xfId="0" applyFont="1" applyBorder="1"/>
    <xf numFmtId="0" fontId="23" fillId="0" borderId="0" xfId="0" applyFont="1" applyBorder="1"/>
    <xf numFmtId="0" fontId="23" fillId="0" borderId="64" xfId="0" applyFont="1" applyBorder="1"/>
    <xf numFmtId="0" fontId="5" fillId="0" borderId="0" xfId="0" applyFont="1" applyBorder="1"/>
    <xf numFmtId="0" fontId="23" fillId="0" borderId="1" xfId="0" applyFont="1" applyBorder="1"/>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justify" vertical="center" wrapText="1"/>
    </xf>
    <xf numFmtId="0" fontId="24" fillId="0" borderId="1" xfId="0" applyFont="1" applyBorder="1" applyAlignment="1">
      <alignment horizontal="center" vertical="center" wrapText="1"/>
    </xf>
    <xf numFmtId="0" fontId="25" fillId="0" borderId="1" xfId="0" applyFont="1" applyBorder="1" applyAlignment="1">
      <alignment horizontal="justify" vertical="center" wrapText="1"/>
    </xf>
    <xf numFmtId="0" fontId="9" fillId="0" borderId="0" xfId="0" applyFont="1" applyBorder="1" applyAlignment="1">
      <alignment wrapText="1"/>
    </xf>
    <xf numFmtId="0" fontId="9" fillId="0" borderId="63" xfId="0" applyFont="1" applyBorder="1" applyAlignment="1">
      <alignment wrapText="1"/>
    </xf>
    <xf numFmtId="0" fontId="22" fillId="0" borderId="0" xfId="0" applyFont="1" applyBorder="1" applyAlignment="1">
      <alignment vertical="top" wrapText="1"/>
    </xf>
    <xf numFmtId="0" fontId="22" fillId="0" borderId="63" xfId="0" applyFont="1" applyBorder="1" applyAlignment="1">
      <alignment vertical="top" wrapText="1"/>
    </xf>
    <xf numFmtId="164" fontId="4" fillId="0" borderId="14" xfId="0" applyNumberFormat="1" applyFont="1" applyFill="1" applyBorder="1" applyAlignment="1">
      <alignment horizontal="center" vertical="center" wrapText="1"/>
    </xf>
    <xf numFmtId="0" fontId="3" fillId="0" borderId="0" xfId="0" applyFont="1"/>
    <xf numFmtId="0" fontId="3" fillId="0" borderId="26" xfId="0" applyFont="1" applyFill="1" applyBorder="1" applyAlignment="1">
      <alignment horizontal="center" vertical="top" wrapText="1"/>
    </xf>
    <xf numFmtId="0" fontId="3" fillId="0" borderId="27" xfId="0" applyFont="1" applyFill="1" applyBorder="1" applyAlignment="1">
      <alignment horizontal="center" vertical="top" wrapText="1"/>
    </xf>
    <xf numFmtId="164" fontId="4" fillId="0" borderId="8" xfId="0" applyNumberFormat="1" applyFont="1" applyFill="1" applyBorder="1" applyAlignment="1">
      <alignment horizontal="center" vertical="top" wrapText="1"/>
    </xf>
    <xf numFmtId="0" fontId="3" fillId="0" borderId="29" xfId="0" applyFont="1" applyFill="1" applyBorder="1" applyAlignment="1">
      <alignment horizontal="right" vertical="top"/>
    </xf>
    <xf numFmtId="164" fontId="3" fillId="0" borderId="26" xfId="0" applyNumberFormat="1" applyFont="1" applyFill="1" applyBorder="1"/>
    <xf numFmtId="164" fontId="3" fillId="0" borderId="35" xfId="0" applyNumberFormat="1" applyFont="1" applyFill="1" applyBorder="1"/>
    <xf numFmtId="0" fontId="5" fillId="0" borderId="1" xfId="0" applyFont="1" applyBorder="1" applyAlignment="1">
      <alignment horizontal="center" vertical="center" wrapText="1"/>
    </xf>
    <xf numFmtId="0" fontId="3" fillId="0" borderId="47"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6" xfId="0" applyFont="1" applyFill="1" applyBorder="1" applyAlignment="1">
      <alignment horizontal="right" vertical="top"/>
    </xf>
    <xf numFmtId="0" fontId="3" fillId="0" borderId="1" xfId="0" applyFont="1" applyFill="1" applyBorder="1" applyAlignment="1">
      <alignment horizontal="right" vertical="top"/>
    </xf>
    <xf numFmtId="164" fontId="3" fillId="0" borderId="1" xfId="0" applyNumberFormat="1" applyFont="1" applyFill="1" applyBorder="1" applyAlignment="1">
      <alignment horizontal="right" vertical="top" wrapText="1"/>
    </xf>
    <xf numFmtId="164" fontId="3" fillId="0" borderId="5" xfId="0" applyNumberFormat="1" applyFont="1" applyFill="1" applyBorder="1" applyAlignment="1">
      <alignment horizontal="right" vertical="top" wrapText="1"/>
    </xf>
    <xf numFmtId="0" fontId="3" fillId="0" borderId="6" xfId="0" applyFont="1" applyFill="1" applyBorder="1"/>
    <xf numFmtId="0" fontId="3" fillId="0" borderId="1" xfId="0" applyFont="1" applyFill="1" applyBorder="1"/>
    <xf numFmtId="164" fontId="3" fillId="0" borderId="62" xfId="0" applyNumberFormat="1" applyFont="1" applyFill="1" applyBorder="1" applyAlignment="1">
      <alignment horizontal="right" vertical="top" wrapText="1"/>
    </xf>
    <xf numFmtId="0" fontId="3" fillId="0" borderId="2" xfId="0" applyFont="1" applyFill="1" applyBorder="1"/>
    <xf numFmtId="164" fontId="3" fillId="0" borderId="2" xfId="0" applyNumberFormat="1" applyFont="1" applyFill="1" applyBorder="1" applyAlignment="1">
      <alignment horizontal="right" vertical="top" wrapText="1"/>
    </xf>
    <xf numFmtId="164" fontId="3" fillId="0" borderId="61" xfId="0" applyNumberFormat="1" applyFont="1" applyFill="1" applyBorder="1" applyAlignment="1">
      <alignment horizontal="right" vertical="top" wrapText="1"/>
    </xf>
    <xf numFmtId="0" fontId="0" fillId="0" borderId="25" xfId="0" applyFill="1" applyBorder="1"/>
    <xf numFmtId="164" fontId="9" fillId="0" borderId="26" xfId="0" applyNumberFormat="1" applyFont="1" applyFill="1" applyBorder="1"/>
    <xf numFmtId="0" fontId="3" fillId="0" borderId="0" xfId="0" applyFont="1" applyFill="1" applyBorder="1" applyAlignment="1">
      <alignment horizontal="center" vertical="center"/>
    </xf>
    <xf numFmtId="0" fontId="0" fillId="0" borderId="0" xfId="0" applyFill="1" applyBorder="1"/>
    <xf numFmtId="164" fontId="9" fillId="0" borderId="0" xfId="0" applyNumberFormat="1" applyFont="1" applyFill="1" applyBorder="1"/>
    <xf numFmtId="0" fontId="4" fillId="0" borderId="4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17" xfId="0" applyFont="1" applyFill="1" applyBorder="1" applyAlignment="1">
      <alignment horizontal="center" vertical="top" wrapText="1"/>
    </xf>
    <xf numFmtId="0" fontId="0" fillId="0" borderId="1" xfId="0" applyFill="1" applyBorder="1" applyAlignment="1">
      <alignment horizontal="center" vertical="top" wrapText="1"/>
    </xf>
    <xf numFmtId="0" fontId="0" fillId="0" borderId="2" xfId="0" applyFill="1" applyBorder="1" applyAlignment="1">
      <alignment horizontal="center" vertical="top" wrapText="1"/>
    </xf>
    <xf numFmtId="0" fontId="11" fillId="0" borderId="1" xfId="0" applyFont="1" applyFill="1" applyBorder="1" applyAlignment="1">
      <alignment horizontal="center" vertical="center"/>
    </xf>
    <xf numFmtId="0" fontId="28" fillId="0" borderId="1" xfId="0" applyFont="1" applyFill="1" applyBorder="1" applyAlignment="1">
      <alignment horizontal="center" vertical="top" wrapText="1"/>
    </xf>
    <xf numFmtId="0" fontId="4" fillId="0" borderId="64" xfId="0" applyFont="1" applyFill="1" applyBorder="1" applyAlignment="1">
      <alignment horizontal="center" vertical="center" wrapText="1"/>
    </xf>
    <xf numFmtId="0" fontId="4" fillId="0" borderId="68" xfId="0" applyFont="1" applyFill="1" applyBorder="1" applyAlignment="1">
      <alignment horizontal="center" vertical="top" wrapText="1"/>
    </xf>
    <xf numFmtId="0" fontId="0" fillId="0" borderId="57" xfId="0" applyFill="1" applyBorder="1" applyAlignment="1">
      <alignment horizontal="center" vertical="top" wrapText="1"/>
    </xf>
    <xf numFmtId="0" fontId="3" fillId="0" borderId="44" xfId="0" applyFont="1" applyFill="1" applyBorder="1"/>
    <xf numFmtId="16" fontId="4" fillId="0" borderId="46" xfId="0" applyNumberFormat="1" applyFont="1" applyFill="1" applyBorder="1" applyAlignment="1">
      <alignment horizontal="center" vertical="top" wrapText="1"/>
    </xf>
    <xf numFmtId="0" fontId="4" fillId="0" borderId="5" xfId="0" applyFont="1" applyFill="1" applyBorder="1" applyAlignment="1">
      <alignment horizontal="center" vertical="top" wrapText="1"/>
    </xf>
    <xf numFmtId="0" fontId="0" fillId="0" borderId="5" xfId="0" applyFill="1" applyBorder="1" applyAlignment="1">
      <alignment horizontal="center" vertical="top" wrapText="1"/>
    </xf>
    <xf numFmtId="0" fontId="0" fillId="0" borderId="33" xfId="0" applyFill="1" applyBorder="1" applyAlignment="1">
      <alignment horizontal="center" vertical="top" wrapText="1"/>
    </xf>
    <xf numFmtId="0" fontId="4" fillId="0" borderId="15" xfId="0" applyFont="1" applyFill="1" applyBorder="1" applyAlignment="1">
      <alignment horizontal="center" vertical="center"/>
    </xf>
    <xf numFmtId="0" fontId="4" fillId="0" borderId="17" xfId="0" applyFont="1" applyFill="1" applyBorder="1" applyAlignment="1">
      <alignment horizontal="center" vertical="center"/>
    </xf>
    <xf numFmtId="164" fontId="3" fillId="0" borderId="51" xfId="0" applyNumberFormat="1" applyFont="1" applyFill="1" applyBorder="1" applyAlignment="1">
      <alignment horizontal="center" vertical="center"/>
    </xf>
    <xf numFmtId="0" fontId="3" fillId="0" borderId="67" xfId="0" quotePrefix="1" applyFont="1" applyFill="1" applyBorder="1" applyAlignment="1">
      <alignment horizontal="center" vertical="top" wrapText="1"/>
    </xf>
    <xf numFmtId="49" fontId="4" fillId="0" borderId="50" xfId="1" applyNumberFormat="1" applyFont="1" applyFill="1" applyBorder="1" applyAlignment="1">
      <alignment vertical="center"/>
    </xf>
    <xf numFmtId="0" fontId="28" fillId="0" borderId="2" xfId="0" applyFont="1" applyFill="1" applyBorder="1" applyAlignment="1">
      <alignment horizontal="center" vertical="top" wrapText="1"/>
    </xf>
    <xf numFmtId="0" fontId="28" fillId="0" borderId="14" xfId="0" applyFont="1" applyFill="1" applyBorder="1" applyAlignment="1">
      <alignment horizontal="center" vertical="top" wrapText="1"/>
    </xf>
    <xf numFmtId="0" fontId="29" fillId="0" borderId="65" xfId="0" applyFont="1" applyFill="1" applyBorder="1"/>
    <xf numFmtId="0" fontId="3" fillId="0" borderId="64" xfId="0" applyFont="1" applyFill="1" applyBorder="1" applyAlignment="1">
      <alignment horizontal="right"/>
    </xf>
    <xf numFmtId="0" fontId="4" fillId="0" borderId="65" xfId="0" applyFont="1" applyFill="1" applyBorder="1"/>
    <xf numFmtId="164" fontId="3" fillId="0" borderId="60" xfId="0" quotePrefix="1" applyNumberFormat="1" applyFont="1" applyFill="1" applyBorder="1" applyAlignment="1">
      <alignment horizontal="center" vertical="center" wrapText="1"/>
    </xf>
    <xf numFmtId="0" fontId="3" fillId="0" borderId="3" xfId="0" applyFont="1" applyFill="1" applyBorder="1" applyAlignment="1">
      <alignment vertical="center" wrapText="1"/>
    </xf>
    <xf numFmtId="0" fontId="3" fillId="0" borderId="50" xfId="0" applyFont="1" applyFill="1" applyBorder="1" applyAlignment="1">
      <alignment vertical="center"/>
    </xf>
    <xf numFmtId="164" fontId="3" fillId="0" borderId="52" xfId="0" applyNumberFormat="1" applyFont="1" applyFill="1" applyBorder="1" applyAlignment="1">
      <alignment horizontal="center" vertical="center"/>
    </xf>
    <xf numFmtId="0" fontId="3" fillId="0" borderId="49" xfId="0" applyFont="1" applyFill="1" applyBorder="1" applyAlignment="1">
      <alignment vertical="center"/>
    </xf>
    <xf numFmtId="164" fontId="3" fillId="0" borderId="7" xfId="0" applyNumberFormat="1" applyFont="1" applyFill="1" applyBorder="1" applyAlignment="1">
      <alignment horizontal="center" vertical="center"/>
    </xf>
    <xf numFmtId="164" fontId="3" fillId="0" borderId="56" xfId="0" applyNumberFormat="1" applyFont="1" applyFill="1" applyBorder="1" applyAlignment="1">
      <alignment horizontal="center" vertical="center"/>
    </xf>
    <xf numFmtId="0" fontId="3" fillId="0" borderId="9" xfId="0" applyFont="1" applyFill="1" applyBorder="1" applyAlignment="1">
      <alignment horizontal="center" vertical="center"/>
    </xf>
    <xf numFmtId="0" fontId="4" fillId="0" borderId="2" xfId="0" applyFont="1" applyFill="1" applyBorder="1"/>
    <xf numFmtId="0" fontId="0" fillId="0" borderId="32" xfId="0" applyBorder="1"/>
    <xf numFmtId="0" fontId="28" fillId="0" borderId="14" xfId="0" applyFont="1" applyFill="1" applyBorder="1" applyAlignment="1">
      <alignment horizontal="center" vertical="center"/>
    </xf>
    <xf numFmtId="49" fontId="3" fillId="0" borderId="23" xfId="1" applyNumberFormat="1" applyFont="1" applyFill="1" applyBorder="1" applyAlignment="1">
      <alignment horizontal="center" vertical="center"/>
    </xf>
    <xf numFmtId="0" fontId="3" fillId="0" borderId="23" xfId="0" applyFont="1" applyFill="1" applyBorder="1" applyAlignment="1">
      <alignment horizontal="center" vertical="top" wrapText="1"/>
    </xf>
    <xf numFmtId="0" fontId="27" fillId="0" borderId="23" xfId="0" applyFont="1" applyFill="1" applyBorder="1" applyAlignment="1">
      <alignment horizontal="center" vertical="center"/>
    </xf>
    <xf numFmtId="0" fontId="0" fillId="0" borderId="13" xfId="0" applyFill="1" applyBorder="1" applyAlignment="1">
      <alignment horizontal="center" vertical="top" wrapText="1"/>
    </xf>
    <xf numFmtId="164" fontId="28" fillId="0" borderId="1" xfId="0" applyNumberFormat="1" applyFont="1" applyFill="1" applyBorder="1" applyAlignment="1">
      <alignment horizontal="center" vertical="top" wrapText="1"/>
    </xf>
    <xf numFmtId="164" fontId="29" fillId="0" borderId="1" xfId="0" applyNumberFormat="1" applyFont="1" applyFill="1" applyBorder="1" applyAlignment="1">
      <alignment horizontal="center" vertical="center"/>
    </xf>
    <xf numFmtId="164" fontId="29" fillId="0" borderId="14" xfId="0" applyNumberFormat="1" applyFont="1" applyFill="1" applyBorder="1" applyAlignment="1">
      <alignment horizontal="center" vertical="center"/>
    </xf>
    <xf numFmtId="164" fontId="29" fillId="0" borderId="2" xfId="0" applyNumberFormat="1" applyFont="1" applyFill="1" applyBorder="1" applyAlignment="1">
      <alignment horizontal="center" vertical="center"/>
    </xf>
    <xf numFmtId="164" fontId="29" fillId="0" borderId="1" xfId="0" applyNumberFormat="1" applyFont="1" applyFill="1" applyBorder="1" applyAlignment="1">
      <alignment horizontal="center" vertical="center" wrapText="1"/>
    </xf>
    <xf numFmtId="164" fontId="29" fillId="0" borderId="14" xfId="0" applyNumberFormat="1" applyFont="1" applyFill="1" applyBorder="1" applyAlignment="1">
      <alignment horizontal="center" vertical="center" wrapText="1"/>
    </xf>
    <xf numFmtId="0" fontId="28" fillId="0" borderId="14" xfId="0" applyFont="1" applyFill="1" applyBorder="1" applyAlignment="1">
      <alignment horizontal="center" vertical="center" wrapText="1"/>
    </xf>
    <xf numFmtId="164" fontId="29" fillId="0" borderId="1" xfId="0" applyNumberFormat="1" applyFont="1" applyFill="1" applyBorder="1" applyAlignment="1">
      <alignment horizontal="center" vertical="top" wrapText="1"/>
    </xf>
    <xf numFmtId="164" fontId="29" fillId="0" borderId="14" xfId="0" applyNumberFormat="1" applyFont="1" applyFill="1" applyBorder="1" applyAlignment="1">
      <alignment horizontal="center" vertical="top" wrapText="1"/>
    </xf>
    <xf numFmtId="164" fontId="29" fillId="0" borderId="68" xfId="0" applyNumberFormat="1" applyFont="1" applyFill="1" applyBorder="1" applyAlignment="1">
      <alignment horizontal="center" vertical="center"/>
    </xf>
    <xf numFmtId="164" fontId="29" fillId="0" borderId="13" xfId="0" applyNumberFormat="1" applyFont="1" applyFill="1" applyBorder="1" applyAlignment="1">
      <alignment horizontal="center" vertical="center"/>
    </xf>
    <xf numFmtId="164" fontId="4" fillId="0" borderId="13" xfId="0" applyNumberFormat="1" applyFont="1" applyFill="1" applyBorder="1" applyAlignment="1">
      <alignment horizontal="center" vertical="center"/>
    </xf>
    <xf numFmtId="0" fontId="28" fillId="0" borderId="68" xfId="0" applyFont="1" applyFill="1" applyBorder="1" applyAlignment="1">
      <alignment horizontal="center" vertical="top" wrapText="1"/>
    </xf>
    <xf numFmtId="164" fontId="4" fillId="0" borderId="26" xfId="0" applyNumberFormat="1" applyFont="1" applyFill="1" applyBorder="1" applyAlignment="1">
      <alignment horizontal="center" vertical="center"/>
    </xf>
    <xf numFmtId="0" fontId="4" fillId="0" borderId="36" xfId="0" applyFont="1" applyFill="1" applyBorder="1" applyAlignment="1">
      <alignment horizontal="center" vertical="top" wrapText="1"/>
    </xf>
    <xf numFmtId="164" fontId="4" fillId="0" borderId="68" xfId="0" applyNumberFormat="1" applyFont="1" applyFill="1" applyBorder="1" applyAlignment="1">
      <alignment horizontal="center" vertical="center"/>
    </xf>
    <xf numFmtId="0" fontId="11" fillId="0" borderId="36" xfId="0" applyFont="1" applyFill="1" applyBorder="1" applyAlignment="1">
      <alignment horizontal="center" vertical="top" wrapText="1"/>
    </xf>
    <xf numFmtId="0" fontId="11" fillId="0" borderId="68" xfId="0" applyFont="1" applyFill="1" applyBorder="1" applyAlignment="1">
      <alignment horizontal="center" vertical="top" wrapText="1"/>
    </xf>
    <xf numFmtId="0" fontId="28" fillId="0" borderId="36" xfId="0" applyFont="1" applyFill="1" applyBorder="1" applyAlignment="1">
      <alignment horizontal="center" vertical="top" wrapText="1"/>
    </xf>
    <xf numFmtId="0" fontId="4" fillId="0" borderId="22" xfId="0" applyFont="1" applyFill="1" applyBorder="1" applyAlignment="1">
      <alignment horizontal="center" vertical="center" wrapText="1"/>
    </xf>
    <xf numFmtId="0" fontId="4" fillId="0" borderId="50" xfId="0" applyFont="1" applyFill="1" applyBorder="1"/>
    <xf numFmtId="0" fontId="3" fillId="0" borderId="11" xfId="0" applyFont="1" applyFill="1" applyBorder="1" applyAlignment="1">
      <alignment horizontal="center" vertical="center"/>
    </xf>
    <xf numFmtId="0" fontId="4" fillId="0" borderId="4" xfId="0" applyFont="1" applyFill="1" applyBorder="1"/>
    <xf numFmtId="0" fontId="0" fillId="0" borderId="63" xfId="0" applyBorder="1"/>
    <xf numFmtId="0" fontId="4" fillId="0" borderId="4" xfId="0" applyFont="1" applyFill="1" applyBorder="1" applyAlignment="1">
      <alignment horizontal="left" vertical="center" wrapText="1"/>
    </xf>
    <xf numFmtId="0" fontId="26" fillId="0" borderId="44" xfId="0" applyFont="1" applyBorder="1"/>
    <xf numFmtId="0" fontId="4" fillId="0" borderId="0" xfId="0" applyFont="1" applyFill="1" applyBorder="1" applyAlignment="1">
      <alignment horizontal="center" vertical="center" wrapText="1"/>
    </xf>
    <xf numFmtId="164" fontId="4" fillId="0" borderId="3" xfId="0" applyNumberFormat="1" applyFont="1" applyFill="1" applyBorder="1" applyAlignment="1">
      <alignment horizontal="center" vertical="center"/>
    </xf>
    <xf numFmtId="164" fontId="4" fillId="0" borderId="65" xfId="0" applyNumberFormat="1" applyFont="1" applyFill="1" applyBorder="1" applyAlignment="1">
      <alignment horizontal="center" vertical="center"/>
    </xf>
    <xf numFmtId="164" fontId="29" fillId="0" borderId="3" xfId="0" applyNumberFormat="1" applyFont="1" applyFill="1" applyBorder="1" applyAlignment="1">
      <alignment horizontal="center" vertical="center"/>
    </xf>
    <xf numFmtId="0" fontId="9" fillId="0" borderId="68" xfId="0" applyFont="1" applyFill="1" applyBorder="1" applyAlignment="1">
      <alignment horizontal="center" vertical="top" wrapText="1"/>
    </xf>
    <xf numFmtId="49" fontId="30" fillId="0" borderId="23" xfId="1" applyNumberFormat="1" applyFont="1" applyFill="1" applyBorder="1" applyAlignment="1">
      <alignment vertical="center"/>
    </xf>
    <xf numFmtId="0" fontId="11" fillId="0" borderId="65" xfId="0" applyFont="1" applyFill="1" applyBorder="1" applyAlignment="1">
      <alignment horizontal="center" vertical="top" wrapText="1"/>
    </xf>
    <xf numFmtId="0" fontId="4" fillId="0" borderId="52" xfId="0" applyFont="1" applyFill="1" applyBorder="1"/>
    <xf numFmtId="0" fontId="9" fillId="0" borderId="23" xfId="0" applyFont="1" applyFill="1" applyBorder="1" applyAlignment="1">
      <alignment horizontal="center" vertical="top" wrapText="1"/>
    </xf>
    <xf numFmtId="0" fontId="4" fillId="0" borderId="55" xfId="0" applyFont="1" applyFill="1" applyBorder="1" applyAlignment="1">
      <alignment horizontal="center"/>
    </xf>
    <xf numFmtId="0" fontId="4" fillId="0" borderId="66" xfId="0" applyFont="1" applyFill="1" applyBorder="1" applyAlignment="1">
      <alignment horizontal="center" vertical="top"/>
    </xf>
    <xf numFmtId="0" fontId="0" fillId="0" borderId="55" xfId="0" applyFill="1" applyBorder="1"/>
    <xf numFmtId="0" fontId="5" fillId="0" borderId="0" xfId="0" applyFont="1" applyFill="1" applyBorder="1" applyAlignment="1">
      <alignment vertical="center"/>
    </xf>
    <xf numFmtId="0" fontId="8" fillId="0" borderId="0" xfId="0" applyFont="1" applyFill="1" applyBorder="1" applyAlignment="1">
      <alignment horizontal="center" vertical="center"/>
    </xf>
    <xf numFmtId="0" fontId="5" fillId="0" borderId="66" xfId="0" applyFont="1" applyFill="1" applyBorder="1"/>
    <xf numFmtId="164" fontId="29" fillId="2" borderId="1" xfId="0" applyNumberFormat="1" applyFont="1" applyFill="1" applyBorder="1" applyAlignment="1">
      <alignment horizontal="center" vertical="center"/>
    </xf>
    <xf numFmtId="164" fontId="29" fillId="2" borderId="1" xfId="0" applyNumberFormat="1" applyFont="1" applyFill="1" applyBorder="1" applyAlignment="1">
      <alignment horizontal="center" vertical="center" wrapText="1"/>
    </xf>
    <xf numFmtId="0" fontId="26" fillId="0" borderId="32" xfId="0" applyFont="1" applyBorder="1" applyAlignment="1">
      <alignment horizontal="center"/>
    </xf>
    <xf numFmtId="0" fontId="0" fillId="0" borderId="26" xfId="0" applyFill="1" applyBorder="1" applyAlignment="1">
      <alignment horizontal="left" vertical="center" wrapText="1"/>
    </xf>
    <xf numFmtId="0" fontId="28" fillId="0" borderId="26" xfId="0" applyFont="1" applyFill="1" applyBorder="1" applyAlignment="1">
      <alignment horizontal="center" vertical="top" wrapText="1"/>
    </xf>
    <xf numFmtId="164" fontId="4" fillId="0" borderId="26" xfId="0" applyNumberFormat="1" applyFont="1" applyFill="1" applyBorder="1" applyAlignment="1">
      <alignment horizontal="center" vertical="top" wrapText="1"/>
    </xf>
    <xf numFmtId="164" fontId="0" fillId="0" borderId="21" xfId="0" applyNumberFormat="1" applyBorder="1"/>
    <xf numFmtId="49" fontId="30" fillId="0" borderId="23" xfId="1" applyNumberFormat="1" applyFont="1" applyFill="1" applyBorder="1" applyAlignment="1">
      <alignment horizontal="center" vertical="center"/>
    </xf>
    <xf numFmtId="0" fontId="30" fillId="0" borderId="23"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29" fillId="0" borderId="36" xfId="0" applyFont="1" applyFill="1" applyBorder="1" applyAlignment="1">
      <alignment horizontal="center" vertical="top" wrapText="1"/>
    </xf>
    <xf numFmtId="0" fontId="3" fillId="0" borderId="26" xfId="0" applyNumberFormat="1" applyFont="1" applyFill="1" applyBorder="1" applyAlignment="1">
      <alignment horizontal="center" vertical="center"/>
    </xf>
    <xf numFmtId="0" fontId="3" fillId="0" borderId="36" xfId="0" applyNumberFormat="1" applyFont="1" applyFill="1" applyBorder="1" applyAlignment="1">
      <alignment horizontal="center" vertical="center"/>
    </xf>
    <xf numFmtId="0" fontId="29" fillId="0" borderId="26" xfId="0" applyNumberFormat="1" applyFont="1" applyFill="1" applyBorder="1" applyAlignment="1">
      <alignment horizontal="center" vertical="center"/>
    </xf>
    <xf numFmtId="164" fontId="26" fillId="0" borderId="32" xfId="0" applyNumberFormat="1" applyFont="1" applyBorder="1"/>
    <xf numFmtId="0" fontId="26" fillId="0" borderId="32" xfId="0" applyFont="1" applyBorder="1"/>
    <xf numFmtId="0" fontId="0" fillId="0" borderId="64" xfId="0" applyFill="1" applyBorder="1" applyAlignment="1">
      <alignment horizontal="center" vertical="top" wrapText="1"/>
    </xf>
    <xf numFmtId="0" fontId="28" fillId="0" borderId="9" xfId="0" applyFont="1" applyFill="1" applyBorder="1" applyAlignment="1">
      <alignment horizontal="center" vertical="top" wrapText="1"/>
    </xf>
    <xf numFmtId="164" fontId="28" fillId="0" borderId="2" xfId="0" applyNumberFormat="1" applyFont="1" applyFill="1" applyBorder="1" applyAlignment="1">
      <alignment horizontal="center" vertical="top" wrapText="1"/>
    </xf>
    <xf numFmtId="164" fontId="4" fillId="0" borderId="10" xfId="0" applyNumberFormat="1" applyFont="1" applyFill="1" applyBorder="1" applyAlignment="1">
      <alignment horizontal="center" vertical="center"/>
    </xf>
    <xf numFmtId="164" fontId="3" fillId="0" borderId="26" xfId="0" applyNumberFormat="1" applyFont="1" applyFill="1" applyBorder="1" applyAlignment="1">
      <alignment horizontal="center" vertical="center" wrapText="1"/>
    </xf>
    <xf numFmtId="164" fontId="3" fillId="0" borderId="27" xfId="0" applyNumberFormat="1" applyFont="1" applyFill="1" applyBorder="1" applyAlignment="1">
      <alignment horizontal="center" vertical="center" wrapText="1"/>
    </xf>
    <xf numFmtId="0" fontId="3" fillId="0" borderId="73" xfId="0" applyFont="1" applyFill="1" applyBorder="1" applyAlignment="1">
      <alignment horizontal="right" vertical="top"/>
    </xf>
    <xf numFmtId="0" fontId="3" fillId="0" borderId="4" xfId="0" applyFont="1" applyFill="1" applyBorder="1" applyAlignment="1">
      <alignment horizontal="right" vertical="top" wrapText="1"/>
    </xf>
    <xf numFmtId="0" fontId="0" fillId="0" borderId="47" xfId="0" applyBorder="1"/>
    <xf numFmtId="0" fontId="6" fillId="0" borderId="32" xfId="0" applyFont="1" applyBorder="1" applyAlignment="1">
      <alignment vertical="center"/>
    </xf>
    <xf numFmtId="0" fontId="5" fillId="0" borderId="32" xfId="0" applyFont="1" applyBorder="1" applyAlignment="1">
      <alignment vertical="center"/>
    </xf>
    <xf numFmtId="0" fontId="5" fillId="0" borderId="32" xfId="0" applyFont="1" applyFill="1" applyBorder="1" applyAlignment="1">
      <alignment vertical="center"/>
    </xf>
    <xf numFmtId="0" fontId="5" fillId="2" borderId="32" xfId="0" applyFont="1" applyFill="1" applyBorder="1" applyAlignment="1">
      <alignment vertical="center"/>
    </xf>
    <xf numFmtId="0" fontId="6" fillId="0" borderId="32" xfId="0" applyFont="1" applyBorder="1" applyAlignment="1">
      <alignment horizontal="center" vertical="center"/>
    </xf>
    <xf numFmtId="0" fontId="5" fillId="0" borderId="48" xfId="0" applyFont="1" applyBorder="1"/>
    <xf numFmtId="0" fontId="5" fillId="0" borderId="0" xfId="0" applyFont="1" applyFill="1" applyBorder="1" applyAlignment="1">
      <alignment horizontal="left" vertical="top" wrapText="1"/>
    </xf>
    <xf numFmtId="0" fontId="5" fillId="0" borderId="66" xfId="0" applyFont="1" applyFill="1" applyBorder="1" applyAlignment="1">
      <alignment horizontal="left" vertical="top" wrapText="1"/>
    </xf>
    <xf numFmtId="0" fontId="4"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8" xfId="0" applyFont="1" applyFill="1" applyBorder="1" applyAlignment="1">
      <alignment horizontal="center" vertical="top" wrapText="1"/>
    </xf>
    <xf numFmtId="0" fontId="4" fillId="0" borderId="1" xfId="0" applyFont="1" applyFill="1" applyBorder="1" applyAlignment="1">
      <alignment horizontal="center" vertical="top" wrapText="1"/>
    </xf>
    <xf numFmtId="0" fontId="8" fillId="0" borderId="0" xfId="0" applyFont="1" applyFill="1" applyBorder="1" applyAlignment="1">
      <alignment horizontal="left" vertical="center" wrapText="1"/>
    </xf>
    <xf numFmtId="0" fontId="3" fillId="0" borderId="25" xfId="0" applyFont="1" applyFill="1" applyBorder="1" applyAlignment="1">
      <alignment horizontal="center" vertical="center" wrapText="1"/>
    </xf>
    <xf numFmtId="0" fontId="3" fillId="0" borderId="25" xfId="0" applyFont="1" applyFill="1" applyBorder="1" applyAlignment="1">
      <alignment horizontal="center" vertical="center"/>
    </xf>
    <xf numFmtId="0" fontId="4" fillId="0" borderId="2" xfId="0" applyFont="1" applyFill="1" applyBorder="1" applyAlignment="1">
      <alignment horizontal="center" vertical="top" wrapText="1"/>
    </xf>
    <xf numFmtId="0" fontId="3" fillId="0" borderId="25" xfId="0" applyFont="1" applyFill="1" applyBorder="1" applyAlignment="1">
      <alignment horizontal="center"/>
    </xf>
    <xf numFmtId="0" fontId="3" fillId="0" borderId="26" xfId="0" applyFont="1" applyFill="1" applyBorder="1" applyAlignment="1">
      <alignment horizontal="center"/>
    </xf>
    <xf numFmtId="0" fontId="4" fillId="0" borderId="3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51" xfId="0" applyFont="1" applyFill="1" applyBorder="1" applyAlignment="1">
      <alignment horizontal="center" vertical="top" wrapText="1"/>
    </xf>
    <xf numFmtId="0" fontId="4" fillId="0" borderId="1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 fillId="0" borderId="69" xfId="0" applyFont="1" applyFill="1" applyBorder="1"/>
    <xf numFmtId="0" fontId="2" fillId="0" borderId="21" xfId="0" applyFont="1" applyFill="1" applyBorder="1"/>
    <xf numFmtId="0" fontId="7" fillId="0" borderId="21" xfId="0" applyFont="1" applyFill="1" applyBorder="1"/>
    <xf numFmtId="0" fontId="6" fillId="0" borderId="70" xfId="0" applyFont="1" applyFill="1" applyBorder="1" applyAlignment="1">
      <alignment horizontal="right" vertical="top"/>
    </xf>
    <xf numFmtId="0" fontId="2" fillId="0" borderId="55" xfId="0" applyFont="1" applyFill="1" applyBorder="1"/>
    <xf numFmtId="0" fontId="2" fillId="0" borderId="0" xfId="0" applyFont="1" applyFill="1" applyBorder="1"/>
    <xf numFmtId="0" fontId="7" fillId="0" borderId="0" xfId="0" applyFont="1" applyFill="1" applyBorder="1"/>
    <xf numFmtId="0" fontId="6" fillId="0" borderId="66" xfId="0" applyFont="1" applyFill="1" applyBorder="1" applyAlignment="1">
      <alignment horizontal="right" vertical="top"/>
    </xf>
    <xf numFmtId="0" fontId="4" fillId="0" borderId="12" xfId="0" applyFont="1" applyFill="1" applyBorder="1"/>
    <xf numFmtId="0" fontId="3" fillId="0" borderId="13" xfId="0" applyFont="1" applyFill="1" applyBorder="1" applyAlignment="1">
      <alignment horizontal="right"/>
    </xf>
    <xf numFmtId="0" fontId="3" fillId="0" borderId="57" xfId="0" applyFont="1" applyFill="1" applyBorder="1" applyAlignment="1">
      <alignment horizontal="right"/>
    </xf>
    <xf numFmtId="0" fontId="3" fillId="0" borderId="25" xfId="0" applyFont="1" applyFill="1" applyBorder="1" applyAlignment="1">
      <alignment vertical="center"/>
    </xf>
    <xf numFmtId="164" fontId="3" fillId="0" borderId="26" xfId="0" applyNumberFormat="1" applyFont="1" applyFill="1" applyBorder="1" applyAlignment="1">
      <alignment horizontal="center" vertical="center"/>
    </xf>
    <xf numFmtId="164" fontId="3" fillId="0" borderId="27" xfId="0" applyNumberFormat="1" applyFont="1" applyFill="1" applyBorder="1" applyAlignment="1">
      <alignment horizontal="center" vertical="center"/>
    </xf>
    <xf numFmtId="49" fontId="3" fillId="0" borderId="59" xfId="1" applyNumberFormat="1" applyFont="1" applyFill="1" applyBorder="1" applyAlignment="1">
      <alignment horizontal="center" vertical="center"/>
    </xf>
    <xf numFmtId="0" fontId="3" fillId="0" borderId="72" xfId="0" applyFont="1" applyFill="1" applyBorder="1" applyAlignment="1">
      <alignment horizontal="center" vertical="top" wrapText="1"/>
    </xf>
    <xf numFmtId="0" fontId="3" fillId="0" borderId="7" xfId="0" applyFont="1" applyFill="1" applyBorder="1" applyAlignment="1">
      <alignment horizontal="center" vertical="center" wrapText="1"/>
    </xf>
    <xf numFmtId="0" fontId="3" fillId="0" borderId="7" xfId="0" applyFont="1" applyFill="1" applyBorder="1" applyAlignment="1">
      <alignment horizontal="center" vertical="top" wrapText="1"/>
    </xf>
    <xf numFmtId="0" fontId="3" fillId="0" borderId="7" xfId="0" applyNumberFormat="1" applyFont="1" applyFill="1" applyBorder="1" applyAlignment="1">
      <alignment horizontal="center" vertical="center"/>
    </xf>
    <xf numFmtId="0" fontId="3" fillId="0" borderId="7" xfId="0" applyNumberFormat="1" applyFont="1" applyFill="1" applyBorder="1" applyAlignment="1">
      <alignment horizontal="center" vertical="center" wrapText="1"/>
    </xf>
    <xf numFmtId="0" fontId="3" fillId="0" borderId="56" xfId="0" applyFont="1" applyFill="1" applyBorder="1" applyAlignment="1">
      <alignment horizontal="center" vertical="top" wrapText="1"/>
    </xf>
    <xf numFmtId="164" fontId="4" fillId="0" borderId="36" xfId="0" applyNumberFormat="1" applyFont="1" applyFill="1" applyBorder="1" applyAlignment="1">
      <alignment horizontal="center" vertical="center"/>
    </xf>
    <xf numFmtId="164" fontId="29" fillId="0" borderId="26" xfId="0" applyNumberFormat="1" applyFont="1" applyFill="1" applyBorder="1" applyAlignment="1">
      <alignment horizontal="center" vertical="center"/>
    </xf>
    <xf numFmtId="0" fontId="11" fillId="0" borderId="59" xfId="0" applyFont="1" applyFill="1" applyBorder="1" applyAlignment="1">
      <alignment horizontal="center" vertical="center" wrapText="1"/>
    </xf>
    <xf numFmtId="0" fontId="11" fillId="0" borderId="54" xfId="0" applyFont="1" applyFill="1" applyBorder="1" applyAlignment="1">
      <alignment horizontal="center" vertical="center" wrapText="1"/>
    </xf>
    <xf numFmtId="0" fontId="11" fillId="0" borderId="60" xfId="0" applyFont="1" applyFill="1" applyBorder="1" applyAlignment="1">
      <alignment horizontal="center" vertical="center" wrapText="1"/>
    </xf>
    <xf numFmtId="49" fontId="11" fillId="0" borderId="59" xfId="1" applyNumberFormat="1" applyFont="1" applyFill="1" applyBorder="1" applyAlignment="1">
      <alignment horizontal="center" vertical="center"/>
    </xf>
    <xf numFmtId="49" fontId="11" fillId="0" borderId="54" xfId="1" applyNumberFormat="1" applyFont="1" applyFill="1" applyBorder="1" applyAlignment="1">
      <alignment horizontal="center" vertical="center"/>
    </xf>
    <xf numFmtId="49" fontId="11" fillId="0" borderId="60" xfId="1" applyNumberFormat="1" applyFont="1" applyFill="1" applyBorder="1" applyAlignment="1">
      <alignment horizontal="center" vertical="center"/>
    </xf>
    <xf numFmtId="0" fontId="4" fillId="0" borderId="7"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6"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0" borderId="20" xfId="0" applyFont="1" applyFill="1" applyBorder="1" applyAlignment="1">
      <alignment horizontal="center" vertical="top" wrapText="1"/>
    </xf>
    <xf numFmtId="0" fontId="5" fillId="0" borderId="0" xfId="0" applyFont="1" applyFill="1" applyBorder="1" applyAlignment="1">
      <alignment horizontal="left" vertical="top" wrapText="1"/>
    </xf>
    <xf numFmtId="0" fontId="5" fillId="0" borderId="66" xfId="0" applyFont="1" applyFill="1" applyBorder="1" applyAlignment="1">
      <alignment horizontal="left" vertical="top" wrapText="1"/>
    </xf>
    <xf numFmtId="0" fontId="4"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8"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4" xfId="0" applyFont="1" applyFill="1" applyBorder="1" applyAlignment="1">
      <alignment horizontal="center" vertical="top" wrapText="1"/>
    </xf>
    <xf numFmtId="16" fontId="4" fillId="0" borderId="31" xfId="0" applyNumberFormat="1" applyFont="1" applyFill="1" applyBorder="1" applyAlignment="1">
      <alignment horizontal="center" vertical="center" wrapText="1"/>
    </xf>
    <xf numFmtId="16" fontId="4" fillId="0" borderId="6" xfId="0" applyNumberFormat="1" applyFont="1" applyFill="1" applyBorder="1" applyAlignment="1">
      <alignment horizontal="center" vertical="center" wrapText="1"/>
    </xf>
    <xf numFmtId="16" fontId="4" fillId="0" borderId="34" xfId="0" applyNumberFormat="1" applyFont="1" applyFill="1" applyBorder="1" applyAlignment="1">
      <alignment horizontal="center" vertical="center" wrapText="1"/>
    </xf>
    <xf numFmtId="0" fontId="4" fillId="0" borderId="8" xfId="0" applyFont="1" applyFill="1" applyBorder="1" applyAlignment="1">
      <alignment horizontal="center" vertical="top"/>
    </xf>
    <xf numFmtId="0" fontId="4" fillId="0" borderId="1" xfId="0" applyFont="1" applyFill="1" applyBorder="1" applyAlignment="1">
      <alignment horizontal="center" vertical="top"/>
    </xf>
    <xf numFmtId="0" fontId="4" fillId="0" borderId="2" xfId="0" applyFont="1" applyFill="1" applyBorder="1" applyAlignment="1">
      <alignment horizontal="center" vertical="top"/>
    </xf>
    <xf numFmtId="0" fontId="4" fillId="0" borderId="14" xfId="0" applyFont="1" applyFill="1" applyBorder="1" applyAlignment="1">
      <alignment horizontal="center" vertical="top"/>
    </xf>
    <xf numFmtId="0" fontId="4" fillId="0" borderId="16" xfId="0" applyFont="1" applyFill="1" applyBorder="1" applyAlignment="1">
      <alignment horizontal="center" vertical="top"/>
    </xf>
    <xf numFmtId="0" fontId="4" fillId="0" borderId="18" xfId="0" applyFont="1" applyFill="1" applyBorder="1" applyAlignment="1">
      <alignment horizontal="center" vertical="top"/>
    </xf>
    <xf numFmtId="0" fontId="4" fillId="0" borderId="10" xfId="0" applyFont="1" applyFill="1" applyBorder="1" applyAlignment="1">
      <alignment horizontal="center" vertical="top"/>
    </xf>
    <xf numFmtId="0" fontId="4" fillId="0" borderId="20" xfId="0" applyFont="1" applyFill="1" applyBorder="1" applyAlignment="1">
      <alignment horizontal="center" vertical="top"/>
    </xf>
    <xf numFmtId="0" fontId="10" fillId="0" borderId="2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3" fillId="0" borderId="25"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4" fillId="0" borderId="65" xfId="0" applyFont="1" applyFill="1" applyBorder="1" applyAlignment="1">
      <alignment horizontal="center"/>
    </xf>
    <xf numFmtId="0" fontId="4" fillId="0" borderId="52" xfId="0" applyFont="1" applyFill="1" applyBorder="1" applyAlignment="1">
      <alignment horizontal="center"/>
    </xf>
    <xf numFmtId="0" fontId="4" fillId="0" borderId="4" xfId="0" applyFont="1" applyFill="1" applyBorder="1" applyAlignment="1">
      <alignment horizontal="left" wrapText="1"/>
    </xf>
    <xf numFmtId="0" fontId="4" fillId="0" borderId="24" xfId="0" applyFont="1" applyFill="1" applyBorder="1" applyAlignment="1">
      <alignment horizontal="left" wrapText="1"/>
    </xf>
    <xf numFmtId="0" fontId="4" fillId="0" borderId="8" xfId="0" applyFont="1" applyFill="1" applyBorder="1" applyAlignment="1">
      <alignment horizontal="left" wrapText="1"/>
    </xf>
    <xf numFmtId="0" fontId="4" fillId="0" borderId="16" xfId="0" applyFont="1" applyFill="1" applyBorder="1" applyAlignment="1">
      <alignment horizontal="left" wrapText="1"/>
    </xf>
    <xf numFmtId="0" fontId="4" fillId="0" borderId="8" xfId="0" applyFont="1" applyFill="1" applyBorder="1" applyAlignment="1">
      <alignment horizontal="left"/>
    </xf>
    <xf numFmtId="0" fontId="4" fillId="0" borderId="16" xfId="0" applyFont="1" applyFill="1" applyBorder="1" applyAlignment="1">
      <alignment horizontal="left"/>
    </xf>
    <xf numFmtId="0" fontId="4" fillId="0" borderId="14"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3" fillId="0" borderId="25"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27" xfId="0" applyFont="1" applyFill="1" applyBorder="1" applyAlignment="1">
      <alignment horizontal="center" vertical="center"/>
    </xf>
    <xf numFmtId="0" fontId="4" fillId="0" borderId="2"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24" xfId="0" applyFont="1" applyFill="1" applyBorder="1" applyAlignment="1">
      <alignment horizontal="center" vertical="top" wrapText="1"/>
    </xf>
    <xf numFmtId="49" fontId="4" fillId="0" borderId="15" xfId="1" applyNumberFormat="1" applyFont="1" applyFill="1" applyBorder="1" applyAlignment="1">
      <alignment horizontal="center" vertical="center"/>
    </xf>
    <xf numFmtId="49" fontId="4" fillId="0" borderId="17" xfId="1" applyNumberFormat="1" applyFont="1" applyFill="1" applyBorder="1" applyAlignment="1">
      <alignment horizontal="center" vertical="center"/>
    </xf>
    <xf numFmtId="49" fontId="4" fillId="0" borderId="19" xfId="1" applyNumberFormat="1" applyFont="1" applyFill="1" applyBorder="1" applyAlignment="1">
      <alignment horizontal="center" vertical="center"/>
    </xf>
    <xf numFmtId="0" fontId="4" fillId="0" borderId="53"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43"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3" fillId="0" borderId="25" xfId="0" applyFont="1" applyFill="1" applyBorder="1" applyAlignment="1">
      <alignment horizontal="center"/>
    </xf>
    <xf numFmtId="0" fontId="3" fillId="0" borderId="26" xfId="0" applyFont="1" applyFill="1" applyBorder="1" applyAlignment="1">
      <alignment horizontal="center"/>
    </xf>
    <xf numFmtId="0" fontId="3" fillId="0" borderId="27" xfId="0" applyFont="1" applyFill="1" applyBorder="1" applyAlignment="1">
      <alignment horizontal="center"/>
    </xf>
    <xf numFmtId="0" fontId="4" fillId="0" borderId="38"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4" fillId="0" borderId="15" xfId="0" applyFont="1" applyFill="1" applyBorder="1" applyAlignment="1">
      <alignment horizontal="left" vertical="top"/>
    </xf>
    <xf numFmtId="0" fontId="4" fillId="0" borderId="8" xfId="0" applyFont="1" applyFill="1" applyBorder="1" applyAlignment="1">
      <alignment horizontal="left" vertical="top"/>
    </xf>
    <xf numFmtId="0" fontId="4" fillId="0" borderId="16" xfId="0" applyFont="1" applyFill="1" applyBorder="1" applyAlignment="1">
      <alignment horizontal="left" vertical="top"/>
    </xf>
    <xf numFmtId="0" fontId="4" fillId="0" borderId="19" xfId="0" applyFont="1" applyFill="1" applyBorder="1" applyAlignment="1">
      <alignment horizontal="left" vertical="top"/>
    </xf>
    <xf numFmtId="0" fontId="4" fillId="0" borderId="14" xfId="0" applyFont="1" applyFill="1" applyBorder="1" applyAlignment="1">
      <alignment horizontal="left" vertical="top"/>
    </xf>
    <xf numFmtId="0" fontId="4" fillId="0" borderId="20" xfId="0" applyFont="1" applyFill="1" applyBorder="1" applyAlignment="1">
      <alignment horizontal="left" vertical="top"/>
    </xf>
    <xf numFmtId="0" fontId="4" fillId="0" borderId="28"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47"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48"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 fillId="0" borderId="54"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31" xfId="0" applyFont="1" applyFill="1" applyBorder="1" applyAlignment="1">
      <alignment horizontal="center" vertical="center" wrapText="1"/>
    </xf>
    <xf numFmtId="16" fontId="4" fillId="0" borderId="31" xfId="0" applyNumberFormat="1" applyFont="1" applyFill="1" applyBorder="1" applyAlignment="1">
      <alignment horizontal="center" vertical="top" wrapText="1"/>
    </xf>
    <xf numFmtId="16" fontId="4" fillId="0" borderId="6" xfId="0" applyNumberFormat="1" applyFont="1" applyFill="1" applyBorder="1" applyAlignment="1">
      <alignment horizontal="center" vertical="top" wrapText="1"/>
    </xf>
    <xf numFmtId="16" fontId="4" fillId="0" borderId="34" xfId="0" applyNumberFormat="1" applyFont="1" applyFill="1" applyBorder="1" applyAlignment="1">
      <alignment horizontal="center" vertical="top" wrapText="1"/>
    </xf>
    <xf numFmtId="49" fontId="4" fillId="0" borderId="40" xfId="1" applyNumberFormat="1" applyFont="1" applyFill="1" applyBorder="1" applyAlignment="1">
      <alignment horizontal="center" vertical="center"/>
    </xf>
    <xf numFmtId="49" fontId="4" fillId="0" borderId="43" xfId="1" applyNumberFormat="1" applyFont="1" applyFill="1" applyBorder="1" applyAlignment="1">
      <alignment horizontal="center" vertical="center"/>
    </xf>
    <xf numFmtId="49" fontId="4" fillId="0" borderId="41" xfId="1" applyNumberFormat="1" applyFont="1" applyFill="1" applyBorder="1" applyAlignment="1">
      <alignment horizontal="center" vertical="center"/>
    </xf>
    <xf numFmtId="0" fontId="4" fillId="0" borderId="31"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34" xfId="0" applyFont="1" applyFill="1" applyBorder="1" applyAlignment="1">
      <alignment horizontal="center" vertical="top" wrapText="1"/>
    </xf>
    <xf numFmtId="0" fontId="3" fillId="0" borderId="40" xfId="0" applyFont="1" applyFill="1" applyBorder="1" applyAlignment="1">
      <alignment horizontal="center" vertical="center"/>
    </xf>
    <xf numFmtId="0" fontId="3" fillId="0" borderId="43" xfId="0" applyFont="1" applyFill="1" applyBorder="1" applyAlignment="1">
      <alignment horizontal="center" vertical="center"/>
    </xf>
    <xf numFmtId="0" fontId="3" fillId="0" borderId="45" xfId="0" applyFont="1" applyFill="1" applyBorder="1" applyAlignment="1">
      <alignment horizontal="center" vertical="center"/>
    </xf>
    <xf numFmtId="0" fontId="3" fillId="0" borderId="41" xfId="0" applyFont="1" applyFill="1" applyBorder="1" applyAlignment="1">
      <alignment horizontal="center" vertical="center"/>
    </xf>
    <xf numFmtId="0" fontId="4" fillId="0" borderId="35" xfId="0" applyFont="1" applyFill="1" applyBorder="1" applyAlignment="1">
      <alignment horizontal="left" vertical="center" wrapText="1"/>
    </xf>
    <xf numFmtId="0" fontId="4" fillId="0" borderId="32" xfId="0" applyFont="1" applyFill="1" applyBorder="1" applyAlignment="1">
      <alignment horizontal="left" vertical="center" wrapText="1"/>
    </xf>
    <xf numFmtId="0" fontId="4" fillId="0" borderId="48" xfId="0" applyFont="1" applyFill="1" applyBorder="1" applyAlignment="1">
      <alignment horizontal="left" vertical="center" wrapText="1"/>
    </xf>
    <xf numFmtId="0" fontId="3" fillId="0" borderId="6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70" xfId="0" applyFont="1" applyFill="1" applyBorder="1" applyAlignment="1">
      <alignment horizontal="center" vertical="center" wrapText="1"/>
    </xf>
    <xf numFmtId="0" fontId="4" fillId="0" borderId="59" xfId="0" applyFont="1" applyFill="1" applyBorder="1" applyAlignment="1">
      <alignment horizontal="center"/>
    </xf>
    <xf numFmtId="0" fontId="4" fillId="0" borderId="54" xfId="0" applyFont="1" applyFill="1" applyBorder="1" applyAlignment="1">
      <alignment horizontal="center"/>
    </xf>
    <xf numFmtId="0" fontId="4" fillId="0" borderId="60" xfId="0" applyFont="1" applyFill="1" applyBorder="1" applyAlignment="1">
      <alignment horizontal="center"/>
    </xf>
    <xf numFmtId="49" fontId="4" fillId="0" borderId="59" xfId="1" applyNumberFormat="1" applyFont="1" applyFill="1" applyBorder="1" applyAlignment="1">
      <alignment horizontal="center" vertical="center"/>
    </xf>
    <xf numFmtId="49" fontId="4" fillId="0" borderId="54" xfId="1" applyNumberFormat="1" applyFont="1" applyFill="1" applyBorder="1" applyAlignment="1">
      <alignment horizontal="center" vertical="center"/>
    </xf>
    <xf numFmtId="49" fontId="4" fillId="0" borderId="60" xfId="1" applyNumberFormat="1" applyFont="1" applyFill="1" applyBorder="1" applyAlignment="1">
      <alignment horizontal="center" vertical="center"/>
    </xf>
    <xf numFmtId="16" fontId="4" fillId="0" borderId="49" xfId="0" applyNumberFormat="1" applyFont="1" applyFill="1" applyBorder="1" applyAlignment="1">
      <alignment horizontal="center" vertical="center" wrapText="1"/>
    </xf>
    <xf numFmtId="16" fontId="4" fillId="0" borderId="50" xfId="0" applyNumberFormat="1" applyFont="1" applyFill="1" applyBorder="1" applyAlignment="1">
      <alignment horizontal="center" vertical="center" wrapText="1"/>
    </xf>
    <xf numFmtId="16" fontId="4" fillId="0" borderId="12" xfId="0" applyNumberFormat="1" applyFont="1" applyFill="1" applyBorder="1" applyAlignment="1">
      <alignment horizontal="center" vertical="center" wrapText="1"/>
    </xf>
    <xf numFmtId="0" fontId="4" fillId="0" borderId="56" xfId="0" applyFont="1" applyFill="1" applyBorder="1" applyAlignment="1">
      <alignment horizontal="center" vertical="top" wrapText="1"/>
    </xf>
    <xf numFmtId="0" fontId="4" fillId="0" borderId="52" xfId="0" applyFont="1" applyFill="1" applyBorder="1" applyAlignment="1">
      <alignment horizontal="center" vertical="top" wrapText="1"/>
    </xf>
    <xf numFmtId="0" fontId="4" fillId="0" borderId="51" xfId="0" applyFont="1" applyFill="1" applyBorder="1" applyAlignment="1">
      <alignment horizontal="center" vertical="top" wrapText="1"/>
    </xf>
    <xf numFmtId="0" fontId="4" fillId="0" borderId="69" xfId="0" applyFont="1" applyFill="1" applyBorder="1" applyAlignment="1">
      <alignment horizontal="center" vertical="top" wrapText="1"/>
    </xf>
    <xf numFmtId="0" fontId="4" fillId="0" borderId="55" xfId="0" applyFont="1" applyFill="1" applyBorder="1" applyAlignment="1">
      <alignment horizontal="center" vertical="top" wrapText="1"/>
    </xf>
    <xf numFmtId="0" fontId="4" fillId="0" borderId="67" xfId="0" applyFont="1" applyFill="1" applyBorder="1" applyAlignment="1">
      <alignment horizontal="center" vertical="top" wrapText="1"/>
    </xf>
    <xf numFmtId="0" fontId="4" fillId="0" borderId="70" xfId="0" applyFont="1" applyFill="1" applyBorder="1" applyAlignment="1">
      <alignment horizontal="center" vertical="top" wrapText="1"/>
    </xf>
    <xf numFmtId="0" fontId="4" fillId="0" borderId="66" xfId="0" applyFont="1" applyFill="1" applyBorder="1" applyAlignment="1">
      <alignment horizontal="center" vertical="top" wrapText="1"/>
    </xf>
    <xf numFmtId="0" fontId="4" fillId="0" borderId="71" xfId="0" applyFont="1" applyFill="1" applyBorder="1" applyAlignment="1">
      <alignment horizontal="center" vertical="top" wrapText="1"/>
    </xf>
    <xf numFmtId="49" fontId="11" fillId="0" borderId="40" xfId="1" applyNumberFormat="1" applyFont="1" applyFill="1" applyBorder="1" applyAlignment="1">
      <alignment horizontal="center" vertical="center"/>
    </xf>
    <xf numFmtId="49" fontId="11" fillId="0" borderId="43" xfId="1" applyNumberFormat="1" applyFont="1" applyFill="1" applyBorder="1" applyAlignment="1">
      <alignment horizontal="center" vertical="center"/>
    </xf>
    <xf numFmtId="49" fontId="11" fillId="0" borderId="41" xfId="1" applyNumberFormat="1" applyFont="1" applyFill="1" applyBorder="1" applyAlignment="1">
      <alignment horizontal="center" vertical="center"/>
    </xf>
    <xf numFmtId="0" fontId="11" fillId="0" borderId="40" xfId="0" applyFont="1" applyFill="1" applyBorder="1" applyAlignment="1">
      <alignment horizontal="center" vertical="top" wrapText="1"/>
    </xf>
    <xf numFmtId="0" fontId="11" fillId="0" borderId="43" xfId="0" applyFont="1" applyFill="1" applyBorder="1" applyAlignment="1">
      <alignment horizontal="center" vertical="top" wrapText="1"/>
    </xf>
    <xf numFmtId="0" fontId="11" fillId="0" borderId="41" xfId="0" applyFont="1" applyFill="1" applyBorder="1" applyAlignment="1">
      <alignment horizontal="center" vertical="top" wrapText="1"/>
    </xf>
    <xf numFmtId="0" fontId="11" fillId="0" borderId="31" xfId="0" applyFont="1" applyFill="1" applyBorder="1" applyAlignment="1">
      <alignment horizontal="center" vertical="top" wrapText="1"/>
    </xf>
    <xf numFmtId="0" fontId="11" fillId="0" borderId="6" xfId="0" applyFont="1" applyFill="1" applyBorder="1" applyAlignment="1">
      <alignment horizontal="center" vertical="top" wrapText="1"/>
    </xf>
    <xf numFmtId="0" fontId="11" fillId="0" borderId="34" xfId="0" applyFont="1" applyFill="1" applyBorder="1" applyAlignment="1">
      <alignment horizontal="center" vertical="top" wrapText="1"/>
    </xf>
    <xf numFmtId="49" fontId="30" fillId="0" borderId="54" xfId="1" applyNumberFormat="1" applyFont="1" applyFill="1" applyBorder="1" applyAlignment="1">
      <alignment horizontal="center" vertical="center"/>
    </xf>
    <xf numFmtId="49" fontId="30" fillId="0" borderId="60" xfId="1" applyNumberFormat="1" applyFont="1" applyFill="1" applyBorder="1" applyAlignment="1">
      <alignment horizontal="center" vertical="center"/>
    </xf>
    <xf numFmtId="0" fontId="9" fillId="0" borderId="8"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14" xfId="0" applyFont="1" applyFill="1" applyBorder="1" applyAlignment="1">
      <alignment horizontal="center" vertical="top" wrapText="1"/>
    </xf>
    <xf numFmtId="0" fontId="9" fillId="0" borderId="16" xfId="0" applyFont="1" applyFill="1" applyBorder="1" applyAlignment="1">
      <alignment horizontal="center" vertical="top" wrapText="1"/>
    </xf>
    <xf numFmtId="0" fontId="9" fillId="0" borderId="18" xfId="0" applyFont="1" applyFill="1" applyBorder="1" applyAlignment="1">
      <alignment horizontal="center" vertical="top" wrapText="1"/>
    </xf>
    <xf numFmtId="0" fontId="9" fillId="0" borderId="20" xfId="0" applyFont="1" applyFill="1" applyBorder="1" applyAlignment="1">
      <alignment horizontal="center" vertical="top" wrapText="1"/>
    </xf>
    <xf numFmtId="0" fontId="4" fillId="0" borderId="2" xfId="0" applyFont="1" applyFill="1" applyBorder="1" applyAlignment="1">
      <alignment horizontal="left" wrapText="1"/>
    </xf>
    <xf numFmtId="0" fontId="4" fillId="0" borderId="10" xfId="0" applyFont="1" applyFill="1" applyBorder="1" applyAlignment="1">
      <alignment horizontal="left" wrapText="1"/>
    </xf>
    <xf numFmtId="0" fontId="4" fillId="0" borderId="68" xfId="0" applyFont="1" applyFill="1" applyBorder="1" applyAlignment="1">
      <alignment horizontal="center"/>
    </xf>
    <xf numFmtId="0" fontId="4" fillId="0" borderId="51" xfId="0" applyFont="1" applyFill="1" applyBorder="1" applyAlignment="1">
      <alignment horizontal="center"/>
    </xf>
    <xf numFmtId="0" fontId="4" fillId="0" borderId="14" xfId="0" applyFont="1" applyFill="1" applyBorder="1" applyAlignment="1">
      <alignment vertical="center" wrapText="1"/>
    </xf>
    <xf numFmtId="0" fontId="4" fillId="0" borderId="20" xfId="0" applyFont="1" applyFill="1" applyBorder="1" applyAlignment="1">
      <alignment vertical="center" wrapText="1"/>
    </xf>
    <xf numFmtId="49" fontId="4" fillId="0" borderId="11" xfId="1" applyNumberFormat="1" applyFont="1" applyFill="1" applyBorder="1" applyAlignment="1">
      <alignment horizontal="center" vertical="center"/>
    </xf>
    <xf numFmtId="49" fontId="4" fillId="0" borderId="9" xfId="1" applyNumberFormat="1" applyFont="1" applyFill="1" applyBorder="1" applyAlignment="1">
      <alignment horizontal="center" vertical="center"/>
    </xf>
    <xf numFmtId="43" fontId="4" fillId="0" borderId="40" xfId="1" applyFont="1" applyFill="1" applyBorder="1" applyAlignment="1">
      <alignment horizontal="center" vertical="center"/>
    </xf>
    <xf numFmtId="43" fontId="4" fillId="0" borderId="43" xfId="1" applyFont="1" applyFill="1" applyBorder="1" applyAlignment="1">
      <alignment horizontal="center" vertical="center"/>
    </xf>
    <xf numFmtId="43" fontId="4" fillId="0" borderId="41" xfId="1"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4" xfId="0" applyFont="1" applyFill="1" applyBorder="1" applyAlignment="1">
      <alignment horizontal="center" vertical="center" wrapText="1"/>
    </xf>
    <xf numFmtId="16" fontId="4" fillId="0" borderId="37" xfId="0" applyNumberFormat="1" applyFont="1" applyFill="1" applyBorder="1" applyAlignment="1">
      <alignment horizontal="center" vertical="center" wrapText="1"/>
    </xf>
    <xf numFmtId="16" fontId="4" fillId="0" borderId="65" xfId="0" applyNumberFormat="1" applyFont="1" applyFill="1" applyBorder="1" applyAlignment="1">
      <alignment horizontal="center" vertical="center" wrapText="1"/>
    </xf>
    <xf numFmtId="16" fontId="4" fillId="0" borderId="68" xfId="0" applyNumberFormat="1" applyFont="1" applyFill="1" applyBorder="1" applyAlignment="1">
      <alignment horizontal="center" vertical="center" wrapText="1"/>
    </xf>
    <xf numFmtId="0" fontId="4" fillId="0" borderId="8" xfId="0" applyFont="1" applyFill="1" applyBorder="1" applyAlignment="1">
      <alignment vertical="center" wrapText="1"/>
    </xf>
    <xf numFmtId="0" fontId="4" fillId="0" borderId="1" xfId="0" applyFont="1" applyFill="1" applyBorder="1" applyAlignment="1">
      <alignment vertical="center" wrapText="1"/>
    </xf>
    <xf numFmtId="0" fontId="11" fillId="2" borderId="59" xfId="0" applyFont="1" applyFill="1" applyBorder="1" applyAlignment="1">
      <alignment horizontal="center" vertical="center" wrapText="1"/>
    </xf>
    <xf numFmtId="0" fontId="11" fillId="2" borderId="54" xfId="0" applyFont="1" applyFill="1" applyBorder="1" applyAlignment="1">
      <alignment horizontal="center" vertical="center" wrapText="1"/>
    </xf>
    <xf numFmtId="0" fontId="11" fillId="2" borderId="60"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22" fillId="0" borderId="0" xfId="0" applyFont="1" applyBorder="1" applyAlignment="1">
      <alignment horizontal="right" wrapText="1"/>
    </xf>
    <xf numFmtId="0" fontId="9" fillId="0" borderId="0" xfId="0" applyFont="1" applyBorder="1" applyAlignment="1">
      <alignment horizontal="center" wrapText="1"/>
    </xf>
    <xf numFmtId="0" fontId="5" fillId="0" borderId="61" xfId="0" applyFont="1" applyBorder="1" applyAlignment="1">
      <alignment horizontal="center" vertical="center" wrapText="1"/>
    </xf>
    <xf numFmtId="0" fontId="5" fillId="0" borderId="64" xfId="0" applyFont="1" applyBorder="1" applyAlignment="1">
      <alignment horizontal="center" vertical="center" wrapText="1"/>
    </xf>
    <xf numFmtId="0" fontId="5" fillId="0" borderId="6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867"/>
  <sheetViews>
    <sheetView tabSelected="1" defaultGridColor="0" view="pageBreakPreview" topLeftCell="A646" colorId="24" zoomScale="85" zoomScaleNormal="90" zoomScaleSheetLayoutView="85" workbookViewId="0">
      <selection activeCell="H662" sqref="H662"/>
    </sheetView>
  </sheetViews>
  <sheetFormatPr defaultRowHeight="15" x14ac:dyDescent="0.25"/>
  <cols>
    <col min="1" max="1" width="5.140625" customWidth="1"/>
    <col min="2" max="2" width="67.140625" customWidth="1"/>
    <col min="3" max="3" width="21" hidden="1" customWidth="1"/>
    <col min="4" max="4" width="15" customWidth="1"/>
    <col min="5" max="5" width="20.85546875" customWidth="1"/>
    <col min="6" max="6" width="16.5703125" customWidth="1"/>
    <col min="7" max="7" width="19.85546875" style="9" customWidth="1"/>
    <col min="8" max="8" width="19.140625" style="28" customWidth="1"/>
    <col min="9" max="10" width="19.42578125" customWidth="1"/>
    <col min="11" max="11" width="31.28515625" customWidth="1"/>
    <col min="12" max="12" width="34.5703125" customWidth="1"/>
    <col min="13" max="13" width="20.42578125" customWidth="1"/>
    <col min="14" max="14" width="25.140625" customWidth="1"/>
  </cols>
  <sheetData>
    <row r="1" spans="1:23" ht="21" x14ac:dyDescent="0.35">
      <c r="A1" s="228"/>
      <c r="B1" s="229"/>
      <c r="C1" s="229">
        <v>0</v>
      </c>
      <c r="D1" s="281" t="s">
        <v>322</v>
      </c>
      <c r="E1" s="281"/>
      <c r="F1" s="281"/>
      <c r="G1" s="281"/>
      <c r="H1" s="281"/>
      <c r="I1" s="281"/>
      <c r="J1" s="281"/>
      <c r="K1" s="230"/>
      <c r="L1" s="231" t="s">
        <v>20</v>
      </c>
    </row>
    <row r="2" spans="1:23" ht="21" x14ac:dyDescent="0.35">
      <c r="A2" s="232"/>
      <c r="B2" s="233"/>
      <c r="C2" s="233"/>
      <c r="D2" s="282"/>
      <c r="E2" s="282"/>
      <c r="F2" s="282"/>
      <c r="G2" s="282"/>
      <c r="H2" s="282"/>
      <c r="I2" s="282"/>
      <c r="J2" s="282"/>
      <c r="K2" s="234"/>
      <c r="L2" s="235" t="s">
        <v>21</v>
      </c>
    </row>
    <row r="3" spans="1:23" ht="21.75" thickBot="1" x14ac:dyDescent="0.4">
      <c r="A3" s="232"/>
      <c r="B3" s="233"/>
      <c r="C3" s="233"/>
      <c r="D3" s="283"/>
      <c r="E3" s="283"/>
      <c r="F3" s="283"/>
      <c r="G3" s="283"/>
      <c r="H3" s="283"/>
      <c r="I3" s="283"/>
      <c r="J3" s="283"/>
      <c r="K3" s="234"/>
      <c r="L3" s="235" t="s">
        <v>323</v>
      </c>
    </row>
    <row r="4" spans="1:23" ht="17.25" thickBot="1" x14ac:dyDescent="0.3">
      <c r="A4" s="319" t="s">
        <v>0</v>
      </c>
      <c r="B4" s="313" t="s">
        <v>1</v>
      </c>
      <c r="C4" s="96"/>
      <c r="D4" s="310" t="s">
        <v>194</v>
      </c>
      <c r="E4" s="333" t="s">
        <v>206</v>
      </c>
      <c r="F4" s="330" t="s">
        <v>207</v>
      </c>
      <c r="G4" s="331"/>
      <c r="H4" s="331"/>
      <c r="I4" s="331"/>
      <c r="J4" s="332"/>
      <c r="K4" s="310" t="s">
        <v>2</v>
      </c>
      <c r="L4" s="327" t="s">
        <v>311</v>
      </c>
    </row>
    <row r="5" spans="1:23" ht="16.5" x14ac:dyDescent="0.25">
      <c r="A5" s="320"/>
      <c r="B5" s="314"/>
      <c r="C5" s="97"/>
      <c r="D5" s="311"/>
      <c r="E5" s="334"/>
      <c r="F5" s="319" t="s">
        <v>237</v>
      </c>
      <c r="G5" s="308" t="s">
        <v>225</v>
      </c>
      <c r="H5" s="308" t="s">
        <v>9</v>
      </c>
      <c r="I5" s="308" t="s">
        <v>10</v>
      </c>
      <c r="J5" s="308" t="s">
        <v>22</v>
      </c>
      <c r="K5" s="311"/>
      <c r="L5" s="328"/>
    </row>
    <row r="6" spans="1:23" ht="70.5" customHeight="1" thickBot="1" x14ac:dyDescent="0.3">
      <c r="A6" s="309"/>
      <c r="B6" s="315"/>
      <c r="C6" s="98"/>
      <c r="D6" s="312"/>
      <c r="E6" s="335"/>
      <c r="F6" s="309"/>
      <c r="G6" s="309"/>
      <c r="H6" s="309"/>
      <c r="I6" s="309"/>
      <c r="J6" s="309"/>
      <c r="K6" s="312"/>
      <c r="L6" s="329"/>
    </row>
    <row r="7" spans="1:23" ht="17.25" thickBot="1" x14ac:dyDescent="0.3">
      <c r="A7" s="11">
        <v>1</v>
      </c>
      <c r="B7" s="12">
        <v>2</v>
      </c>
      <c r="C7" s="14"/>
      <c r="D7" s="15">
        <v>3</v>
      </c>
      <c r="E7" s="15">
        <v>4</v>
      </c>
      <c r="F7" s="15">
        <v>5</v>
      </c>
      <c r="G7" s="15">
        <v>6</v>
      </c>
      <c r="H7" s="15">
        <v>7</v>
      </c>
      <c r="I7" s="15">
        <v>8</v>
      </c>
      <c r="J7" s="15">
        <v>9</v>
      </c>
      <c r="K7" s="219">
        <v>10</v>
      </c>
      <c r="L7" s="13">
        <v>11</v>
      </c>
    </row>
    <row r="8" spans="1:23" ht="16.5" x14ac:dyDescent="0.25">
      <c r="A8" s="7" t="s">
        <v>3</v>
      </c>
      <c r="B8" s="8" t="s">
        <v>4</v>
      </c>
      <c r="C8" s="16"/>
      <c r="D8" s="321" t="s">
        <v>6</v>
      </c>
      <c r="E8" s="322"/>
      <c r="F8" s="322"/>
      <c r="G8" s="322"/>
      <c r="H8" s="322"/>
      <c r="I8" s="322"/>
      <c r="J8" s="322"/>
      <c r="K8" s="322"/>
      <c r="L8" s="323"/>
    </row>
    <row r="9" spans="1:23" ht="17.25" thickBot="1" x14ac:dyDescent="0.3">
      <c r="A9" s="10"/>
      <c r="B9" s="6" t="s">
        <v>5</v>
      </c>
      <c r="C9" s="17"/>
      <c r="D9" s="324" t="s">
        <v>7</v>
      </c>
      <c r="E9" s="325"/>
      <c r="F9" s="325"/>
      <c r="G9" s="325"/>
      <c r="H9" s="325"/>
      <c r="I9" s="325"/>
      <c r="J9" s="325"/>
      <c r="K9" s="325"/>
      <c r="L9" s="326"/>
    </row>
    <row r="10" spans="1:23" ht="17.25" thickBot="1" x14ac:dyDescent="0.3">
      <c r="A10" s="316" t="s">
        <v>8</v>
      </c>
      <c r="B10" s="317"/>
      <c r="C10" s="317"/>
      <c r="D10" s="317"/>
      <c r="E10" s="317"/>
      <c r="F10" s="317"/>
      <c r="G10" s="317"/>
      <c r="H10" s="317"/>
      <c r="I10" s="317"/>
      <c r="J10" s="317"/>
      <c r="K10" s="317"/>
      <c r="L10" s="318"/>
    </row>
    <row r="11" spans="1:23" ht="16.5" x14ac:dyDescent="0.25">
      <c r="A11" s="305" t="s">
        <v>17</v>
      </c>
      <c r="B11" s="266" t="s">
        <v>16</v>
      </c>
      <c r="C11" s="212"/>
      <c r="D11" s="5">
        <v>2018</v>
      </c>
      <c r="E11" s="21">
        <f>F11+G11+H11+J11</f>
        <v>6000</v>
      </c>
      <c r="F11" s="21">
        <v>0</v>
      </c>
      <c r="G11" s="21">
        <v>3000</v>
      </c>
      <c r="H11" s="21">
        <v>3000</v>
      </c>
      <c r="I11" s="21">
        <v>3000</v>
      </c>
      <c r="J11" s="21">
        <v>0</v>
      </c>
      <c r="K11" s="267" t="s">
        <v>11</v>
      </c>
      <c r="L11" s="260" t="s">
        <v>12</v>
      </c>
    </row>
    <row r="12" spans="1:23" ht="16.5" x14ac:dyDescent="0.25">
      <c r="A12" s="306"/>
      <c r="B12" s="265"/>
      <c r="C12" s="211"/>
      <c r="D12" s="4">
        <v>2019</v>
      </c>
      <c r="E12" s="19">
        <f t="shared" ref="E12:E28" si="0">F12+G12+H12+J12</f>
        <v>6000</v>
      </c>
      <c r="F12" s="19">
        <v>0</v>
      </c>
      <c r="G12" s="19">
        <v>3000</v>
      </c>
      <c r="H12" s="19">
        <v>3000</v>
      </c>
      <c r="I12" s="19">
        <v>3000</v>
      </c>
      <c r="J12" s="19">
        <v>0</v>
      </c>
      <c r="K12" s="268"/>
      <c r="L12" s="261"/>
    </row>
    <row r="13" spans="1:23" ht="16.5" x14ac:dyDescent="0.25">
      <c r="A13" s="306"/>
      <c r="B13" s="265"/>
      <c r="C13" s="211"/>
      <c r="D13" s="214">
        <v>2020</v>
      </c>
      <c r="E13" s="19">
        <f t="shared" si="0"/>
        <v>0</v>
      </c>
      <c r="F13" s="46">
        <v>0</v>
      </c>
      <c r="G13" s="19">
        <v>0</v>
      </c>
      <c r="H13" s="19">
        <v>0</v>
      </c>
      <c r="I13" s="19">
        <v>0</v>
      </c>
      <c r="J13" s="19">
        <v>0</v>
      </c>
      <c r="K13" s="268"/>
      <c r="L13" s="261"/>
    </row>
    <row r="14" spans="1:23" ht="16.5" x14ac:dyDescent="0.25">
      <c r="A14" s="306"/>
      <c r="B14" s="265"/>
      <c r="C14" s="211"/>
      <c r="D14" s="214">
        <v>2021</v>
      </c>
      <c r="E14" s="19">
        <f t="shared" si="0"/>
        <v>0</v>
      </c>
      <c r="F14" s="46">
        <v>0</v>
      </c>
      <c r="G14" s="19">
        <v>0</v>
      </c>
      <c r="H14" s="19">
        <v>0</v>
      </c>
      <c r="I14" s="19">
        <v>0</v>
      </c>
      <c r="J14" s="19">
        <v>0</v>
      </c>
      <c r="K14" s="268"/>
      <c r="L14" s="261"/>
      <c r="N14" s="2"/>
      <c r="O14" s="2"/>
      <c r="P14" s="2"/>
      <c r="Q14" s="2"/>
      <c r="R14" s="2"/>
      <c r="S14" s="2"/>
      <c r="T14" s="2"/>
      <c r="U14" s="2"/>
      <c r="V14" s="2"/>
      <c r="W14" s="2"/>
    </row>
    <row r="15" spans="1:23" ht="16.5" x14ac:dyDescent="0.25">
      <c r="A15" s="306"/>
      <c r="B15" s="265"/>
      <c r="C15" s="211"/>
      <c r="D15" s="214">
        <v>2022</v>
      </c>
      <c r="E15" s="19">
        <f t="shared" si="0"/>
        <v>0</v>
      </c>
      <c r="F15" s="46">
        <v>0</v>
      </c>
      <c r="G15" s="19">
        <v>0</v>
      </c>
      <c r="H15" s="19">
        <v>0</v>
      </c>
      <c r="I15" s="19">
        <v>0</v>
      </c>
      <c r="J15" s="19">
        <v>0</v>
      </c>
      <c r="K15" s="268"/>
      <c r="L15" s="261"/>
      <c r="N15" s="2"/>
      <c r="O15" s="2"/>
      <c r="P15" s="2"/>
      <c r="Q15" s="2"/>
      <c r="R15" s="2"/>
      <c r="S15" s="2"/>
      <c r="T15" s="2"/>
      <c r="U15" s="2"/>
      <c r="V15" s="2"/>
      <c r="W15" s="2"/>
    </row>
    <row r="16" spans="1:23" ht="16.5" x14ac:dyDescent="0.25">
      <c r="A16" s="306"/>
      <c r="B16" s="265"/>
      <c r="C16" s="211"/>
      <c r="D16" s="214">
        <v>2023</v>
      </c>
      <c r="E16" s="19">
        <f t="shared" si="0"/>
        <v>0</v>
      </c>
      <c r="F16" s="46">
        <v>0</v>
      </c>
      <c r="G16" s="19">
        <v>0</v>
      </c>
      <c r="H16" s="19">
        <f>I16</f>
        <v>0</v>
      </c>
      <c r="I16" s="19">
        <v>0</v>
      </c>
      <c r="J16" s="19">
        <v>0</v>
      </c>
      <c r="K16" s="268"/>
      <c r="L16" s="261"/>
      <c r="N16" s="2"/>
      <c r="O16" s="2"/>
      <c r="P16" s="2"/>
      <c r="Q16" s="2"/>
      <c r="R16" s="2"/>
      <c r="S16" s="2"/>
      <c r="T16" s="2"/>
      <c r="U16" s="2"/>
      <c r="V16" s="2"/>
      <c r="W16" s="2"/>
    </row>
    <row r="17" spans="1:23" ht="16.5" x14ac:dyDescent="0.25">
      <c r="A17" s="306"/>
      <c r="B17" s="265"/>
      <c r="C17" s="211"/>
      <c r="D17" s="214">
        <v>2024</v>
      </c>
      <c r="E17" s="19">
        <f t="shared" si="0"/>
        <v>0</v>
      </c>
      <c r="F17" s="46">
        <v>0</v>
      </c>
      <c r="G17" s="19">
        <v>0</v>
      </c>
      <c r="H17" s="19">
        <f>I17</f>
        <v>0</v>
      </c>
      <c r="I17" s="19">
        <v>0</v>
      </c>
      <c r="J17" s="19">
        <v>0</v>
      </c>
      <c r="K17" s="268"/>
      <c r="L17" s="261"/>
      <c r="N17" s="2"/>
      <c r="O17" s="2"/>
      <c r="P17" s="2"/>
      <c r="Q17" s="2"/>
      <c r="R17" s="2"/>
      <c r="S17" s="2"/>
      <c r="T17" s="2"/>
      <c r="U17" s="2"/>
      <c r="V17" s="2"/>
      <c r="W17" s="2"/>
    </row>
    <row r="18" spans="1:23" ht="16.5" x14ac:dyDescent="0.25">
      <c r="A18" s="306"/>
      <c r="B18" s="265"/>
      <c r="C18" s="211"/>
      <c r="D18" s="214">
        <v>2025</v>
      </c>
      <c r="E18" s="19">
        <f t="shared" si="0"/>
        <v>0</v>
      </c>
      <c r="F18" s="46">
        <v>0</v>
      </c>
      <c r="G18" s="19">
        <v>0</v>
      </c>
      <c r="H18" s="19">
        <v>0</v>
      </c>
      <c r="I18" s="19">
        <v>0</v>
      </c>
      <c r="J18" s="19">
        <v>0</v>
      </c>
      <c r="K18" s="268"/>
      <c r="L18" s="261"/>
      <c r="N18" s="2"/>
      <c r="O18" s="2"/>
      <c r="P18" s="2"/>
      <c r="Q18" s="2"/>
      <c r="R18" s="2"/>
      <c r="S18" s="2"/>
      <c r="T18" s="2"/>
      <c r="U18" s="2"/>
      <c r="V18" s="2"/>
      <c r="W18" s="2"/>
    </row>
    <row r="19" spans="1:23" ht="17.25" thickBot="1" x14ac:dyDescent="0.3">
      <c r="A19" s="307"/>
      <c r="B19" s="405"/>
      <c r="C19" s="226"/>
      <c r="D19" s="132">
        <v>2026</v>
      </c>
      <c r="E19" s="22">
        <f t="shared" ref="E19" si="1">F19+G19+H19+J19</f>
        <v>0</v>
      </c>
      <c r="F19" s="22">
        <v>0</v>
      </c>
      <c r="G19" s="22">
        <v>0</v>
      </c>
      <c r="H19" s="22">
        <v>0</v>
      </c>
      <c r="I19" s="22">
        <v>0</v>
      </c>
      <c r="J19" s="22">
        <v>0</v>
      </c>
      <c r="K19" s="269"/>
      <c r="L19" s="262"/>
      <c r="N19" s="2"/>
      <c r="O19" s="2"/>
      <c r="P19" s="2"/>
      <c r="Q19" s="2"/>
      <c r="R19" s="2"/>
      <c r="S19" s="2"/>
      <c r="T19" s="2"/>
      <c r="U19" s="2"/>
      <c r="V19" s="2"/>
      <c r="W19" s="2"/>
    </row>
    <row r="20" spans="1:23" ht="16.5" customHeight="1" x14ac:dyDescent="0.25">
      <c r="A20" s="399" t="s">
        <v>18</v>
      </c>
      <c r="B20" s="406" t="s">
        <v>30</v>
      </c>
      <c r="C20" s="227"/>
      <c r="D20" s="38">
        <v>2018</v>
      </c>
      <c r="E20" s="18">
        <f t="shared" si="0"/>
        <v>0</v>
      </c>
      <c r="F20" s="18">
        <v>0</v>
      </c>
      <c r="G20" s="18">
        <v>0</v>
      </c>
      <c r="H20" s="18">
        <v>0</v>
      </c>
      <c r="I20" s="18">
        <v>0</v>
      </c>
      <c r="J20" s="18">
        <v>0</v>
      </c>
      <c r="K20" s="303" t="s">
        <v>13</v>
      </c>
      <c r="L20" s="304" t="s">
        <v>12</v>
      </c>
      <c r="N20" s="2"/>
      <c r="O20" s="2"/>
      <c r="P20" s="2"/>
      <c r="Q20" s="2"/>
      <c r="R20" s="2"/>
      <c r="S20" s="2"/>
      <c r="T20" s="2"/>
      <c r="U20" s="2"/>
      <c r="V20" s="2"/>
      <c r="W20" s="2"/>
    </row>
    <row r="21" spans="1:23" ht="16.5" x14ac:dyDescent="0.25">
      <c r="A21" s="306"/>
      <c r="B21" s="265"/>
      <c r="C21" s="211"/>
      <c r="D21" s="4">
        <v>2019</v>
      </c>
      <c r="E21" s="19">
        <f t="shared" si="0"/>
        <v>0</v>
      </c>
      <c r="F21" s="19">
        <v>0</v>
      </c>
      <c r="G21" s="19">
        <v>0</v>
      </c>
      <c r="H21" s="19">
        <v>0</v>
      </c>
      <c r="I21" s="19">
        <v>0</v>
      </c>
      <c r="J21" s="19">
        <v>0</v>
      </c>
      <c r="K21" s="268"/>
      <c r="L21" s="261"/>
      <c r="N21" s="2"/>
      <c r="O21" s="2"/>
      <c r="P21" s="2"/>
      <c r="Q21" s="2"/>
      <c r="R21" s="2"/>
      <c r="S21" s="2"/>
      <c r="T21" s="2"/>
      <c r="U21" s="2"/>
      <c r="V21" s="2"/>
      <c r="W21" s="2"/>
    </row>
    <row r="22" spans="1:23" ht="16.5" x14ac:dyDescent="0.25">
      <c r="A22" s="306"/>
      <c r="B22" s="265"/>
      <c r="C22" s="211"/>
      <c r="D22" s="214">
        <v>2020</v>
      </c>
      <c r="E22" s="19">
        <f>F22+G22+H22+J22</f>
        <v>6750</v>
      </c>
      <c r="F22" s="23">
        <v>0</v>
      </c>
      <c r="G22" s="19">
        <v>5700</v>
      </c>
      <c r="H22" s="19">
        <v>1050</v>
      </c>
      <c r="I22" s="19">
        <v>300</v>
      </c>
      <c r="J22" s="19">
        <v>0</v>
      </c>
      <c r="K22" s="268"/>
      <c r="L22" s="261"/>
      <c r="N22" s="2"/>
      <c r="O22" s="2"/>
      <c r="P22" s="2"/>
      <c r="Q22" s="2"/>
      <c r="R22" s="2"/>
      <c r="S22" s="2"/>
      <c r="T22" s="2"/>
      <c r="U22" s="2"/>
      <c r="V22" s="2"/>
      <c r="W22" s="2"/>
    </row>
    <row r="23" spans="1:23" ht="16.5" x14ac:dyDescent="0.25">
      <c r="A23" s="306"/>
      <c r="B23" s="265"/>
      <c r="C23" s="211"/>
      <c r="D23" s="214">
        <v>2021</v>
      </c>
      <c r="E23" s="19">
        <f t="shared" si="0"/>
        <v>7200</v>
      </c>
      <c r="F23" s="23">
        <v>0</v>
      </c>
      <c r="G23" s="19">
        <v>5700</v>
      </c>
      <c r="H23" s="19">
        <v>1500</v>
      </c>
      <c r="I23" s="19">
        <v>300</v>
      </c>
      <c r="J23" s="19">
        <v>0</v>
      </c>
      <c r="K23" s="268"/>
      <c r="L23" s="261"/>
      <c r="M23" s="2"/>
      <c r="N23" s="2"/>
      <c r="O23" s="2"/>
      <c r="P23" s="2"/>
      <c r="Q23" s="2"/>
      <c r="R23" s="2"/>
      <c r="S23" s="2"/>
      <c r="T23" s="2"/>
      <c r="U23" s="2"/>
      <c r="V23" s="2"/>
      <c r="W23" s="2"/>
    </row>
    <row r="24" spans="1:23" ht="16.5" x14ac:dyDescent="0.25">
      <c r="A24" s="306"/>
      <c r="B24" s="265"/>
      <c r="C24" s="211"/>
      <c r="D24" s="214">
        <v>2022</v>
      </c>
      <c r="E24" s="19">
        <f t="shared" si="0"/>
        <v>0</v>
      </c>
      <c r="F24" s="23">
        <v>0</v>
      </c>
      <c r="G24" s="19">
        <v>0</v>
      </c>
      <c r="H24" s="19">
        <v>0</v>
      </c>
      <c r="I24" s="19">
        <v>0</v>
      </c>
      <c r="J24" s="19">
        <v>0</v>
      </c>
      <c r="K24" s="268"/>
      <c r="L24" s="261"/>
      <c r="N24" s="2"/>
      <c r="O24" s="2"/>
      <c r="P24" s="2"/>
      <c r="Q24" s="2"/>
      <c r="R24" s="2"/>
      <c r="S24" s="2"/>
      <c r="T24" s="2"/>
      <c r="U24" s="2"/>
      <c r="V24" s="2"/>
      <c r="W24" s="2"/>
    </row>
    <row r="25" spans="1:23" ht="16.5" x14ac:dyDescent="0.25">
      <c r="A25" s="306"/>
      <c r="B25" s="265"/>
      <c r="C25" s="211"/>
      <c r="D25" s="214">
        <v>2023</v>
      </c>
      <c r="E25" s="19">
        <f t="shared" si="0"/>
        <v>0</v>
      </c>
      <c r="F25" s="23">
        <v>0</v>
      </c>
      <c r="G25" s="19">
        <v>0</v>
      </c>
      <c r="H25" s="19">
        <f>I25</f>
        <v>0</v>
      </c>
      <c r="I25" s="19">
        <v>0</v>
      </c>
      <c r="J25" s="19">
        <v>0</v>
      </c>
      <c r="K25" s="268"/>
      <c r="L25" s="261"/>
      <c r="N25" s="2"/>
      <c r="O25" s="2"/>
      <c r="P25" s="2"/>
      <c r="Q25" s="2"/>
      <c r="R25" s="2"/>
      <c r="S25" s="2"/>
      <c r="T25" s="2"/>
      <c r="U25" s="2"/>
      <c r="V25" s="2"/>
      <c r="W25" s="2"/>
    </row>
    <row r="26" spans="1:23" ht="16.5" x14ac:dyDescent="0.25">
      <c r="A26" s="306"/>
      <c r="B26" s="265"/>
      <c r="C26" s="211"/>
      <c r="D26" s="214">
        <v>2024</v>
      </c>
      <c r="E26" s="19">
        <f>F26+G26+H26+J26</f>
        <v>0</v>
      </c>
      <c r="F26" s="23">
        <v>0</v>
      </c>
      <c r="G26" s="19">
        <v>0</v>
      </c>
      <c r="H26" s="138">
        <f>I26</f>
        <v>0</v>
      </c>
      <c r="I26" s="19">
        <v>0</v>
      </c>
      <c r="J26" s="19">
        <v>0</v>
      </c>
      <c r="K26" s="268"/>
      <c r="L26" s="261"/>
      <c r="N26" s="2"/>
      <c r="O26" s="2"/>
      <c r="P26" s="2"/>
      <c r="Q26" s="2"/>
      <c r="R26" s="2"/>
      <c r="S26" s="2"/>
      <c r="T26" s="2"/>
      <c r="U26" s="2"/>
      <c r="V26" s="2"/>
      <c r="W26" s="2"/>
    </row>
    <row r="27" spans="1:23" ht="16.5" x14ac:dyDescent="0.25">
      <c r="A27" s="306"/>
      <c r="B27" s="265"/>
      <c r="C27" s="211"/>
      <c r="D27" s="214">
        <v>2025</v>
      </c>
      <c r="E27" s="19">
        <f t="shared" si="0"/>
        <v>0</v>
      </c>
      <c r="F27" s="23">
        <v>0</v>
      </c>
      <c r="G27" s="19">
        <v>0</v>
      </c>
      <c r="H27" s="138">
        <f>I27</f>
        <v>0</v>
      </c>
      <c r="I27" s="19">
        <v>0</v>
      </c>
      <c r="J27" s="19">
        <v>0</v>
      </c>
      <c r="K27" s="268"/>
      <c r="L27" s="261"/>
      <c r="N27" s="2"/>
      <c r="O27" s="2"/>
      <c r="P27" s="2"/>
      <c r="Q27" s="2"/>
      <c r="R27" s="2"/>
      <c r="S27" s="2"/>
      <c r="T27" s="2"/>
      <c r="U27" s="2"/>
      <c r="V27" s="2"/>
      <c r="W27" s="2"/>
    </row>
    <row r="28" spans="1:23" ht="17.25" thickBot="1" x14ac:dyDescent="0.3">
      <c r="A28" s="307"/>
      <c r="B28" s="405"/>
      <c r="C28" s="226"/>
      <c r="D28" s="118">
        <v>2026</v>
      </c>
      <c r="E28" s="22">
        <f t="shared" si="0"/>
        <v>0</v>
      </c>
      <c r="F28" s="24">
        <v>0</v>
      </c>
      <c r="G28" s="22">
        <v>0</v>
      </c>
      <c r="H28" s="139">
        <v>0</v>
      </c>
      <c r="I28" s="22">
        <v>0</v>
      </c>
      <c r="J28" s="22">
        <v>0</v>
      </c>
      <c r="K28" s="269"/>
      <c r="L28" s="262"/>
      <c r="N28" s="2"/>
      <c r="O28" s="2"/>
      <c r="P28" s="2"/>
      <c r="Q28" s="2"/>
      <c r="R28" s="2"/>
      <c r="S28" s="2"/>
      <c r="T28" s="2"/>
      <c r="U28" s="2"/>
      <c r="V28" s="2"/>
      <c r="W28" s="2"/>
    </row>
    <row r="29" spans="1:23" ht="17.25" thickBot="1" x14ac:dyDescent="0.3">
      <c r="A29" s="116"/>
      <c r="B29" s="123"/>
      <c r="C29" s="104"/>
      <c r="D29" s="124" t="s">
        <v>14</v>
      </c>
      <c r="E29" s="26">
        <f>F29+G29+H29+J29</f>
        <v>25950</v>
      </c>
      <c r="F29" s="26">
        <f>SUM(F11:F28)</f>
        <v>0</v>
      </c>
      <c r="G29" s="26">
        <f>SUM(G11:G28)</f>
        <v>17400</v>
      </c>
      <c r="H29" s="26">
        <f t="shared" ref="H29:J29" si="2">SUM(H11:H28)</f>
        <v>8550</v>
      </c>
      <c r="I29" s="26">
        <f t="shared" si="2"/>
        <v>6600</v>
      </c>
      <c r="J29" s="125">
        <f t="shared" si="2"/>
        <v>0</v>
      </c>
      <c r="K29" s="288"/>
      <c r="L29" s="289"/>
      <c r="N29" s="2"/>
      <c r="O29" s="2"/>
      <c r="P29" s="2"/>
      <c r="Q29" s="2"/>
      <c r="R29" s="2"/>
      <c r="S29" s="2"/>
      <c r="T29" s="2"/>
      <c r="U29" s="2"/>
      <c r="V29" s="2"/>
      <c r="W29" s="2"/>
    </row>
    <row r="30" spans="1:23" ht="16.5" x14ac:dyDescent="0.25">
      <c r="A30" s="7" t="s">
        <v>19</v>
      </c>
      <c r="B30" s="8" t="s">
        <v>4</v>
      </c>
      <c r="C30" s="8"/>
      <c r="D30" s="294" t="s">
        <v>15</v>
      </c>
      <c r="E30" s="294"/>
      <c r="F30" s="294"/>
      <c r="G30" s="294"/>
      <c r="H30" s="294"/>
      <c r="I30" s="294"/>
      <c r="J30" s="294"/>
      <c r="K30" s="294"/>
      <c r="L30" s="295"/>
      <c r="N30" s="2"/>
      <c r="O30" s="2"/>
      <c r="P30" s="2"/>
      <c r="Q30" s="2"/>
      <c r="R30" s="2"/>
      <c r="S30" s="2"/>
      <c r="T30" s="2"/>
      <c r="U30" s="2"/>
      <c r="V30" s="2"/>
      <c r="W30" s="2"/>
    </row>
    <row r="31" spans="1:23" ht="17.25" thickBot="1" x14ac:dyDescent="0.3">
      <c r="A31" s="30"/>
      <c r="B31" s="6" t="s">
        <v>5</v>
      </c>
      <c r="C31" s="6"/>
      <c r="D31" s="296" t="s">
        <v>188</v>
      </c>
      <c r="E31" s="296"/>
      <c r="F31" s="296"/>
      <c r="G31" s="296"/>
      <c r="H31" s="296"/>
      <c r="I31" s="296"/>
      <c r="J31" s="296"/>
      <c r="K31" s="296"/>
      <c r="L31" s="297"/>
      <c r="M31" s="2"/>
      <c r="N31" s="2"/>
      <c r="O31" s="2"/>
      <c r="P31" s="2"/>
      <c r="Q31" s="2"/>
      <c r="R31" s="2"/>
      <c r="S31" s="2"/>
      <c r="T31" s="2"/>
      <c r="U31" s="2"/>
      <c r="V31" s="2"/>
      <c r="W31" s="2"/>
    </row>
    <row r="32" spans="1:23" ht="17.25" thickBot="1" x14ac:dyDescent="0.3">
      <c r="A32" s="298" t="s">
        <v>31</v>
      </c>
      <c r="B32" s="299"/>
      <c r="C32" s="299"/>
      <c r="D32" s="299"/>
      <c r="E32" s="299"/>
      <c r="F32" s="299"/>
      <c r="G32" s="299"/>
      <c r="H32" s="299"/>
      <c r="I32" s="299"/>
      <c r="J32" s="299"/>
      <c r="K32" s="299"/>
      <c r="L32" s="300"/>
      <c r="M32" s="2"/>
      <c r="N32" s="2"/>
      <c r="O32" s="2"/>
      <c r="P32" s="2"/>
      <c r="Q32" s="2"/>
      <c r="R32" s="2"/>
      <c r="S32" s="2"/>
      <c r="T32" s="2"/>
      <c r="U32" s="2"/>
      <c r="V32" s="2"/>
      <c r="W32" s="2"/>
    </row>
    <row r="33" spans="1:23" s="1" customFormat="1" ht="16.5" x14ac:dyDescent="0.25">
      <c r="A33" s="305" t="s">
        <v>32</v>
      </c>
      <c r="B33" s="266" t="s">
        <v>34</v>
      </c>
      <c r="C33" s="31"/>
      <c r="D33" s="5">
        <v>2018</v>
      </c>
      <c r="E33" s="21">
        <f>F33+G33+H33+J33</f>
        <v>295.2</v>
      </c>
      <c r="F33" s="21">
        <v>0</v>
      </c>
      <c r="G33" s="21">
        <v>0</v>
      </c>
      <c r="H33" s="21">
        <v>295.2</v>
      </c>
      <c r="I33" s="21">
        <v>0</v>
      </c>
      <c r="J33" s="21">
        <v>0</v>
      </c>
      <c r="K33" s="267" t="s">
        <v>37</v>
      </c>
      <c r="L33" s="260" t="s">
        <v>38</v>
      </c>
      <c r="M33" s="2"/>
      <c r="N33" s="2"/>
      <c r="O33" s="2"/>
      <c r="P33" s="2"/>
      <c r="Q33" s="2"/>
      <c r="R33" s="2"/>
      <c r="S33" s="2"/>
      <c r="T33" s="2"/>
      <c r="U33" s="2"/>
      <c r="V33" s="2"/>
      <c r="W33" s="2"/>
    </row>
    <row r="34" spans="1:23" s="2" customFormat="1" ht="16.5" x14ac:dyDescent="0.25">
      <c r="A34" s="306"/>
      <c r="B34" s="265"/>
      <c r="C34" s="32"/>
      <c r="D34" s="4">
        <v>2019</v>
      </c>
      <c r="E34" s="19">
        <f>F34+G34+H34+J34</f>
        <v>180.4</v>
      </c>
      <c r="F34" s="19">
        <v>0</v>
      </c>
      <c r="G34" s="19">
        <v>0</v>
      </c>
      <c r="H34" s="19">
        <v>180.4</v>
      </c>
      <c r="I34" s="19">
        <v>0</v>
      </c>
      <c r="J34" s="19">
        <v>0</v>
      </c>
      <c r="K34" s="268"/>
      <c r="L34" s="261"/>
      <c r="M34" s="47"/>
    </row>
    <row r="35" spans="1:23" s="2" customFormat="1" ht="16.5" x14ac:dyDescent="0.25">
      <c r="A35" s="306"/>
      <c r="B35" s="265"/>
      <c r="C35" s="32"/>
      <c r="D35" s="214">
        <v>2020</v>
      </c>
      <c r="E35" s="19">
        <f t="shared" ref="E35:E50" si="3">F35+G35+H35+J35</f>
        <v>0</v>
      </c>
      <c r="F35" s="23">
        <v>0</v>
      </c>
      <c r="G35" s="19">
        <v>0</v>
      </c>
      <c r="H35" s="19">
        <v>0</v>
      </c>
      <c r="I35" s="19">
        <v>0</v>
      </c>
      <c r="J35" s="19">
        <v>0</v>
      </c>
      <c r="K35" s="268"/>
      <c r="L35" s="261"/>
    </row>
    <row r="36" spans="1:23" s="2" customFormat="1" ht="16.5" x14ac:dyDescent="0.25">
      <c r="A36" s="306"/>
      <c r="B36" s="265"/>
      <c r="C36" s="33"/>
      <c r="D36" s="214">
        <v>2021</v>
      </c>
      <c r="E36" s="19">
        <f t="shared" si="3"/>
        <v>0</v>
      </c>
      <c r="F36" s="23">
        <v>0</v>
      </c>
      <c r="G36" s="19">
        <v>0</v>
      </c>
      <c r="H36" s="19">
        <v>0</v>
      </c>
      <c r="I36" s="19">
        <v>0</v>
      </c>
      <c r="J36" s="19">
        <v>0</v>
      </c>
      <c r="K36" s="268"/>
      <c r="L36" s="261"/>
    </row>
    <row r="37" spans="1:23" s="2" customFormat="1" ht="16.5" x14ac:dyDescent="0.25">
      <c r="A37" s="306"/>
      <c r="B37" s="265"/>
      <c r="C37" s="33"/>
      <c r="D37" s="214">
        <v>2022</v>
      </c>
      <c r="E37" s="19">
        <f t="shared" si="3"/>
        <v>0</v>
      </c>
      <c r="F37" s="23">
        <v>0</v>
      </c>
      <c r="G37" s="19">
        <v>0</v>
      </c>
      <c r="H37" s="19">
        <v>0</v>
      </c>
      <c r="I37" s="19">
        <v>0</v>
      </c>
      <c r="J37" s="19">
        <v>0</v>
      </c>
      <c r="K37" s="268"/>
      <c r="L37" s="261"/>
    </row>
    <row r="38" spans="1:23" s="2" customFormat="1" ht="16.5" x14ac:dyDescent="0.25">
      <c r="A38" s="306"/>
      <c r="B38" s="265"/>
      <c r="C38" s="33"/>
      <c r="D38" s="214">
        <v>2023</v>
      </c>
      <c r="E38" s="19">
        <f t="shared" si="3"/>
        <v>0</v>
      </c>
      <c r="F38" s="23">
        <v>0</v>
      </c>
      <c r="G38" s="19">
        <v>0</v>
      </c>
      <c r="H38" s="19">
        <v>0</v>
      </c>
      <c r="I38" s="19">
        <v>0</v>
      </c>
      <c r="J38" s="19">
        <v>0</v>
      </c>
      <c r="K38" s="268"/>
      <c r="L38" s="261"/>
    </row>
    <row r="39" spans="1:23" s="2" customFormat="1" ht="16.5" x14ac:dyDescent="0.25">
      <c r="A39" s="306"/>
      <c r="B39" s="265"/>
      <c r="C39" s="33"/>
      <c r="D39" s="214">
        <v>2024</v>
      </c>
      <c r="E39" s="19">
        <f t="shared" si="3"/>
        <v>200</v>
      </c>
      <c r="F39" s="23">
        <v>0</v>
      </c>
      <c r="G39" s="19">
        <v>0</v>
      </c>
      <c r="H39" s="178">
        <v>200</v>
      </c>
      <c r="I39" s="19">
        <v>0</v>
      </c>
      <c r="J39" s="19">
        <v>0</v>
      </c>
      <c r="K39" s="268"/>
      <c r="L39" s="261"/>
    </row>
    <row r="40" spans="1:23" s="3" customFormat="1" ht="17.25" thickBot="1" x14ac:dyDescent="0.3">
      <c r="A40" s="306"/>
      <c r="B40" s="265"/>
      <c r="C40" s="33"/>
      <c r="D40" s="214">
        <v>2025</v>
      </c>
      <c r="E40" s="19">
        <f t="shared" si="3"/>
        <v>200</v>
      </c>
      <c r="F40" s="23">
        <v>0</v>
      </c>
      <c r="G40" s="19">
        <v>0</v>
      </c>
      <c r="H40" s="138">
        <v>200</v>
      </c>
      <c r="I40" s="19">
        <v>0</v>
      </c>
      <c r="J40" s="19">
        <v>0</v>
      </c>
      <c r="K40" s="268"/>
      <c r="L40" s="261"/>
      <c r="M40" s="2"/>
      <c r="N40" s="2"/>
      <c r="O40" s="2"/>
    </row>
    <row r="41" spans="1:23" s="2" customFormat="1" ht="17.25" thickBot="1" x14ac:dyDescent="0.3">
      <c r="A41" s="400"/>
      <c r="B41" s="404"/>
      <c r="C41" s="48"/>
      <c r="D41" s="117">
        <v>2026</v>
      </c>
      <c r="E41" s="20">
        <f t="shared" si="3"/>
        <v>200</v>
      </c>
      <c r="F41" s="25">
        <v>0</v>
      </c>
      <c r="G41" s="20">
        <v>0</v>
      </c>
      <c r="H41" s="140">
        <v>200</v>
      </c>
      <c r="I41" s="20">
        <v>0</v>
      </c>
      <c r="J41" s="20">
        <v>0</v>
      </c>
      <c r="K41" s="301"/>
      <c r="L41" s="302"/>
    </row>
    <row r="42" spans="1:23" ht="16.5" x14ac:dyDescent="0.25">
      <c r="A42" s="305" t="s">
        <v>33</v>
      </c>
      <c r="B42" s="266" t="s">
        <v>35</v>
      </c>
      <c r="C42" s="31"/>
      <c r="D42" s="5">
        <v>2018</v>
      </c>
      <c r="E42" s="21">
        <f t="shared" si="3"/>
        <v>245.1</v>
      </c>
      <c r="F42" s="21">
        <v>0</v>
      </c>
      <c r="G42" s="21">
        <v>0</v>
      </c>
      <c r="H42" s="21">
        <v>245.1</v>
      </c>
      <c r="I42" s="21">
        <v>0</v>
      </c>
      <c r="J42" s="21">
        <v>0</v>
      </c>
      <c r="K42" s="267" t="s">
        <v>36</v>
      </c>
      <c r="L42" s="260" t="s">
        <v>38</v>
      </c>
      <c r="M42" s="2"/>
      <c r="N42" s="2"/>
      <c r="O42" s="2"/>
    </row>
    <row r="43" spans="1:23" ht="16.5" x14ac:dyDescent="0.25">
      <c r="A43" s="306"/>
      <c r="B43" s="265"/>
      <c r="C43" s="32"/>
      <c r="D43" s="4">
        <v>2019</v>
      </c>
      <c r="E43" s="19">
        <f t="shared" si="3"/>
        <v>244.3</v>
      </c>
      <c r="F43" s="19">
        <v>0</v>
      </c>
      <c r="G43" s="19">
        <v>0</v>
      </c>
      <c r="H43" s="19">
        <v>244.3</v>
      </c>
      <c r="I43" s="19">
        <v>0</v>
      </c>
      <c r="J43" s="19">
        <v>0</v>
      </c>
      <c r="K43" s="268"/>
      <c r="L43" s="261"/>
      <c r="M43" s="2"/>
      <c r="N43" s="2"/>
      <c r="O43" s="2"/>
    </row>
    <row r="44" spans="1:23" ht="16.5" x14ac:dyDescent="0.25">
      <c r="A44" s="306"/>
      <c r="B44" s="265"/>
      <c r="C44" s="32"/>
      <c r="D44" s="214">
        <v>2020</v>
      </c>
      <c r="E44" s="19">
        <f t="shared" si="3"/>
        <v>0</v>
      </c>
      <c r="F44" s="23">
        <v>0</v>
      </c>
      <c r="G44" s="19">
        <v>0</v>
      </c>
      <c r="H44" s="19">
        <v>0</v>
      </c>
      <c r="I44" s="19">
        <v>0</v>
      </c>
      <c r="J44" s="19">
        <v>0</v>
      </c>
      <c r="K44" s="268"/>
      <c r="L44" s="261"/>
    </row>
    <row r="45" spans="1:23" ht="16.5" x14ac:dyDescent="0.25">
      <c r="A45" s="306"/>
      <c r="B45" s="265"/>
      <c r="C45" s="33"/>
      <c r="D45" s="214">
        <v>2021</v>
      </c>
      <c r="E45" s="19">
        <f t="shared" si="3"/>
        <v>300</v>
      </c>
      <c r="F45" s="23">
        <v>0</v>
      </c>
      <c r="G45" s="19">
        <v>0</v>
      </c>
      <c r="H45" s="19">
        <v>300</v>
      </c>
      <c r="I45" s="19">
        <v>0</v>
      </c>
      <c r="J45" s="19">
        <v>0</v>
      </c>
      <c r="K45" s="268"/>
      <c r="L45" s="261"/>
    </row>
    <row r="46" spans="1:23" ht="16.5" x14ac:dyDescent="0.25">
      <c r="A46" s="306"/>
      <c r="B46" s="265"/>
      <c r="C46" s="33"/>
      <c r="D46" s="214">
        <v>2022</v>
      </c>
      <c r="E46" s="19">
        <f t="shared" si="3"/>
        <v>300</v>
      </c>
      <c r="F46" s="23">
        <v>0</v>
      </c>
      <c r="G46" s="19">
        <v>0</v>
      </c>
      <c r="H46" s="19">
        <v>300</v>
      </c>
      <c r="I46" s="19">
        <v>0</v>
      </c>
      <c r="J46" s="19">
        <v>0</v>
      </c>
      <c r="K46" s="268"/>
      <c r="L46" s="261"/>
    </row>
    <row r="47" spans="1:23" ht="16.5" x14ac:dyDescent="0.25">
      <c r="A47" s="306"/>
      <c r="B47" s="265"/>
      <c r="C47" s="33"/>
      <c r="D47" s="214">
        <v>2023</v>
      </c>
      <c r="E47" s="19">
        <f t="shared" si="3"/>
        <v>188</v>
      </c>
      <c r="F47" s="23">
        <v>0</v>
      </c>
      <c r="G47" s="19">
        <v>0</v>
      </c>
      <c r="H47" s="19">
        <f>200-6.3-5.7</f>
        <v>188</v>
      </c>
      <c r="I47" s="19">
        <v>0</v>
      </c>
      <c r="J47" s="19">
        <v>0</v>
      </c>
      <c r="K47" s="268"/>
      <c r="L47" s="261"/>
    </row>
    <row r="48" spans="1:23" ht="16.5" x14ac:dyDescent="0.25">
      <c r="A48" s="306"/>
      <c r="B48" s="265"/>
      <c r="C48" s="33"/>
      <c r="D48" s="214">
        <v>2024</v>
      </c>
      <c r="E48" s="19">
        <f t="shared" si="3"/>
        <v>400</v>
      </c>
      <c r="F48" s="23">
        <v>0</v>
      </c>
      <c r="G48" s="19">
        <v>0</v>
      </c>
      <c r="H48" s="178">
        <v>400</v>
      </c>
      <c r="I48" s="19">
        <v>0</v>
      </c>
      <c r="J48" s="19">
        <v>0</v>
      </c>
      <c r="K48" s="268"/>
      <c r="L48" s="261"/>
    </row>
    <row r="49" spans="1:12" ht="16.5" x14ac:dyDescent="0.25">
      <c r="A49" s="306"/>
      <c r="B49" s="265"/>
      <c r="C49" s="33"/>
      <c r="D49" s="214">
        <v>2025</v>
      </c>
      <c r="E49" s="19">
        <f t="shared" si="3"/>
        <v>400</v>
      </c>
      <c r="F49" s="23">
        <v>0</v>
      </c>
      <c r="G49" s="19">
        <v>0</v>
      </c>
      <c r="H49" s="138">
        <v>400</v>
      </c>
      <c r="I49" s="19">
        <v>0</v>
      </c>
      <c r="J49" s="19">
        <v>0</v>
      </c>
      <c r="K49" s="268"/>
      <c r="L49" s="261"/>
    </row>
    <row r="50" spans="1:12" ht="17.25" thickBot="1" x14ac:dyDescent="0.3">
      <c r="A50" s="307"/>
      <c r="B50" s="405"/>
      <c r="C50" s="34"/>
      <c r="D50" s="118">
        <v>2026</v>
      </c>
      <c r="E50" s="22">
        <f t="shared" si="3"/>
        <v>400</v>
      </c>
      <c r="F50" s="24">
        <v>0</v>
      </c>
      <c r="G50" s="22">
        <v>0</v>
      </c>
      <c r="H50" s="139">
        <v>400</v>
      </c>
      <c r="I50" s="22">
        <v>0</v>
      </c>
      <c r="J50" s="22">
        <v>0</v>
      </c>
      <c r="K50" s="269"/>
      <c r="L50" s="262"/>
    </row>
    <row r="51" spans="1:12" s="160" customFormat="1" ht="21.75" customHeight="1" thickBot="1" x14ac:dyDescent="0.3">
      <c r="A51" s="236"/>
      <c r="B51" s="237"/>
      <c r="C51" s="238"/>
      <c r="D51" s="239" t="s">
        <v>14</v>
      </c>
      <c r="E51" s="240">
        <f>SUM(F51:J51)</f>
        <v>3553</v>
      </c>
      <c r="F51" s="240">
        <f>F33+F34+F35+F36+F37+F38+F39+F40+F42+F43+F44+F45+F46+F47+F48+F49+F41+F50</f>
        <v>0</v>
      </c>
      <c r="G51" s="240">
        <f>G33+G34+G35+G36+G37+G38+G39+G40+G42+G43+G44+G45+G46+G47+G48+G49+G41+G50</f>
        <v>0</v>
      </c>
      <c r="H51" s="240">
        <f>H33+H34+H35+H36+H37+H38+H39+H40+H42+H43+H44+H45+H46+H47+H48+H49+H41+H50</f>
        <v>3553</v>
      </c>
      <c r="I51" s="240">
        <f>I33+I34+I35+I36+I37+I38+I39+I40+I42+I43+I44+I45+I46+I47+I48+I49+I41+I50</f>
        <v>0</v>
      </c>
      <c r="J51" s="241">
        <f>J33+J34+J35+J36+J37+J38+J39+J40+J42+J43+J44+J45+J46+J47+J48+J49+J41+J50</f>
        <v>0</v>
      </c>
      <c r="K51" s="395"/>
      <c r="L51" s="396"/>
    </row>
    <row r="52" spans="1:12" s="3" customFormat="1" ht="17.25" thickBot="1" x14ac:dyDescent="0.3">
      <c r="A52" s="15">
        <v>1</v>
      </c>
      <c r="B52" s="15">
        <v>2</v>
      </c>
      <c r="C52" s="15"/>
      <c r="D52" s="15">
        <v>3</v>
      </c>
      <c r="E52" s="15">
        <v>4</v>
      </c>
      <c r="F52" s="15">
        <v>5</v>
      </c>
      <c r="G52" s="15">
        <v>6</v>
      </c>
      <c r="H52" s="15">
        <v>7</v>
      </c>
      <c r="I52" s="15">
        <v>8</v>
      </c>
      <c r="J52" s="15">
        <v>9</v>
      </c>
      <c r="K52" s="15">
        <v>10</v>
      </c>
      <c r="L52" s="15">
        <v>11</v>
      </c>
    </row>
    <row r="53" spans="1:12" ht="16.5" x14ac:dyDescent="0.25">
      <c r="A53" s="158" t="s">
        <v>39</v>
      </c>
      <c r="B53" s="159" t="s">
        <v>4</v>
      </c>
      <c r="C53" s="159"/>
      <c r="D53" s="290" t="s">
        <v>40</v>
      </c>
      <c r="E53" s="290"/>
      <c r="F53" s="290"/>
      <c r="G53" s="290"/>
      <c r="H53" s="290"/>
      <c r="I53" s="290"/>
      <c r="J53" s="290"/>
      <c r="K53" s="290"/>
      <c r="L53" s="291"/>
    </row>
    <row r="54" spans="1:12" ht="17.25" thickBot="1" x14ac:dyDescent="0.3">
      <c r="A54" s="30"/>
      <c r="B54" s="6" t="s">
        <v>5</v>
      </c>
      <c r="C54" s="6"/>
      <c r="D54" s="397" t="s">
        <v>41</v>
      </c>
      <c r="E54" s="397"/>
      <c r="F54" s="397"/>
      <c r="G54" s="397"/>
      <c r="H54" s="397"/>
      <c r="I54" s="397"/>
      <c r="J54" s="397"/>
      <c r="K54" s="397"/>
      <c r="L54" s="398"/>
    </row>
    <row r="55" spans="1:12" ht="36" customHeight="1" thickBot="1" x14ac:dyDescent="0.3">
      <c r="A55" s="285" t="s">
        <v>42</v>
      </c>
      <c r="B55" s="286"/>
      <c r="C55" s="286"/>
      <c r="D55" s="286"/>
      <c r="E55" s="286"/>
      <c r="F55" s="286"/>
      <c r="G55" s="286"/>
      <c r="H55" s="286"/>
      <c r="I55" s="286"/>
      <c r="J55" s="286"/>
      <c r="K55" s="286"/>
      <c r="L55" s="287"/>
    </row>
    <row r="56" spans="1:12" ht="16.5" customHeight="1" x14ac:dyDescent="0.25">
      <c r="A56" s="342" t="s">
        <v>44</v>
      </c>
      <c r="B56" s="338" t="s">
        <v>43</v>
      </c>
      <c r="C56" s="31"/>
      <c r="D56" s="5">
        <v>2018</v>
      </c>
      <c r="E56" s="21">
        <f>F56+G56+H56+J56</f>
        <v>110.4</v>
      </c>
      <c r="F56" s="21">
        <v>0</v>
      </c>
      <c r="G56" s="21">
        <v>0</v>
      </c>
      <c r="H56" s="21">
        <v>110.4</v>
      </c>
      <c r="I56" s="21">
        <v>0</v>
      </c>
      <c r="J56" s="21">
        <v>0</v>
      </c>
      <c r="K56" s="267" t="s">
        <v>45</v>
      </c>
      <c r="L56" s="260" t="s">
        <v>38</v>
      </c>
    </row>
    <row r="57" spans="1:12" ht="16.5" x14ac:dyDescent="0.25">
      <c r="A57" s="343"/>
      <c r="B57" s="336"/>
      <c r="C57" s="32"/>
      <c r="D57" s="4">
        <v>2019</v>
      </c>
      <c r="E57" s="19">
        <f t="shared" ref="E57:E64" si="4">F57+G57+H57+J57</f>
        <v>110.4</v>
      </c>
      <c r="F57" s="19">
        <v>0</v>
      </c>
      <c r="G57" s="19">
        <v>0</v>
      </c>
      <c r="H57" s="19">
        <v>110.4</v>
      </c>
      <c r="I57" s="19">
        <v>0</v>
      </c>
      <c r="J57" s="19">
        <v>0</v>
      </c>
      <c r="K57" s="268"/>
      <c r="L57" s="261"/>
    </row>
    <row r="58" spans="1:12" ht="16.5" x14ac:dyDescent="0.25">
      <c r="A58" s="343"/>
      <c r="B58" s="336"/>
      <c r="C58" s="32"/>
      <c r="D58" s="214">
        <v>2020</v>
      </c>
      <c r="E58" s="19">
        <f t="shared" si="4"/>
        <v>110.4</v>
      </c>
      <c r="F58" s="23">
        <v>0</v>
      </c>
      <c r="G58" s="19">
        <v>0</v>
      </c>
      <c r="H58" s="19">
        <v>110.4</v>
      </c>
      <c r="I58" s="19">
        <v>0</v>
      </c>
      <c r="J58" s="19">
        <v>0</v>
      </c>
      <c r="K58" s="268"/>
      <c r="L58" s="261"/>
    </row>
    <row r="59" spans="1:12" ht="16.5" x14ac:dyDescent="0.25">
      <c r="A59" s="343"/>
      <c r="B59" s="336"/>
      <c r="C59" s="33"/>
      <c r="D59" s="214">
        <v>2021</v>
      </c>
      <c r="E59" s="19">
        <f t="shared" si="4"/>
        <v>110.4</v>
      </c>
      <c r="F59" s="23">
        <v>0</v>
      </c>
      <c r="G59" s="19">
        <v>0</v>
      </c>
      <c r="H59" s="19">
        <v>110.4</v>
      </c>
      <c r="I59" s="19">
        <v>0</v>
      </c>
      <c r="J59" s="19">
        <v>0</v>
      </c>
      <c r="K59" s="268"/>
      <c r="L59" s="261"/>
    </row>
    <row r="60" spans="1:12" ht="16.5" x14ac:dyDescent="0.25">
      <c r="A60" s="343"/>
      <c r="B60" s="336"/>
      <c r="C60" s="33"/>
      <c r="D60" s="214">
        <v>2022</v>
      </c>
      <c r="E60" s="19">
        <f t="shared" si="4"/>
        <v>110.4</v>
      </c>
      <c r="F60" s="23">
        <v>0</v>
      </c>
      <c r="G60" s="19">
        <v>0</v>
      </c>
      <c r="H60" s="19">
        <v>110.4</v>
      </c>
      <c r="I60" s="19">
        <v>0</v>
      </c>
      <c r="J60" s="19">
        <v>0</v>
      </c>
      <c r="K60" s="268"/>
      <c r="L60" s="261"/>
    </row>
    <row r="61" spans="1:12" ht="16.5" x14ac:dyDescent="0.25">
      <c r="A61" s="343"/>
      <c r="B61" s="336"/>
      <c r="C61" s="33"/>
      <c r="D61" s="214">
        <v>2023</v>
      </c>
      <c r="E61" s="19">
        <f t="shared" si="4"/>
        <v>200</v>
      </c>
      <c r="F61" s="23">
        <v>0</v>
      </c>
      <c r="G61" s="19">
        <v>0</v>
      </c>
      <c r="H61" s="19">
        <v>200</v>
      </c>
      <c r="I61" s="19">
        <v>0</v>
      </c>
      <c r="J61" s="19">
        <v>0</v>
      </c>
      <c r="K61" s="268"/>
      <c r="L61" s="261"/>
    </row>
    <row r="62" spans="1:12" ht="16.5" x14ac:dyDescent="0.25">
      <c r="A62" s="343"/>
      <c r="B62" s="336"/>
      <c r="C62" s="33"/>
      <c r="D62" s="214">
        <v>2024</v>
      </c>
      <c r="E62" s="19">
        <f t="shared" si="4"/>
        <v>200</v>
      </c>
      <c r="F62" s="23">
        <v>0</v>
      </c>
      <c r="G62" s="19">
        <v>0</v>
      </c>
      <c r="H62" s="178">
        <v>200</v>
      </c>
      <c r="I62" s="19">
        <v>0</v>
      </c>
      <c r="J62" s="19">
        <v>0</v>
      </c>
      <c r="K62" s="268"/>
      <c r="L62" s="261"/>
    </row>
    <row r="63" spans="1:12" ht="16.5" x14ac:dyDescent="0.25">
      <c r="A63" s="343"/>
      <c r="B63" s="336"/>
      <c r="C63" s="33"/>
      <c r="D63" s="214">
        <v>2025</v>
      </c>
      <c r="E63" s="19">
        <f t="shared" si="4"/>
        <v>200</v>
      </c>
      <c r="F63" s="23">
        <v>0</v>
      </c>
      <c r="G63" s="19">
        <v>0</v>
      </c>
      <c r="H63" s="138">
        <v>200</v>
      </c>
      <c r="I63" s="19">
        <v>0</v>
      </c>
      <c r="J63" s="19">
        <v>0</v>
      </c>
      <c r="K63" s="268"/>
      <c r="L63" s="261"/>
    </row>
    <row r="64" spans="1:12" ht="17.25" thickBot="1" x14ac:dyDescent="0.3">
      <c r="A64" s="344"/>
      <c r="B64" s="337"/>
      <c r="C64" s="34"/>
      <c r="D64" s="118">
        <v>2026</v>
      </c>
      <c r="E64" s="22">
        <f t="shared" si="4"/>
        <v>200</v>
      </c>
      <c r="F64" s="24">
        <v>0</v>
      </c>
      <c r="G64" s="22">
        <v>0</v>
      </c>
      <c r="H64" s="139">
        <v>200</v>
      </c>
      <c r="I64" s="22">
        <v>0</v>
      </c>
      <c r="J64" s="22">
        <v>0</v>
      </c>
      <c r="K64" s="269"/>
      <c r="L64" s="262"/>
    </row>
    <row r="65" spans="1:12" ht="17.25" thickBot="1" x14ac:dyDescent="0.3">
      <c r="A65" s="157"/>
      <c r="B65" s="35"/>
      <c r="C65" s="120"/>
      <c r="D65" s="126" t="s">
        <v>14</v>
      </c>
      <c r="E65" s="127">
        <f>F65+G65+H65+I65+J65</f>
        <v>1352</v>
      </c>
      <c r="F65" s="127">
        <f>F56+F57+F58+F59+F60+F61+F62+F63+F64</f>
        <v>0</v>
      </c>
      <c r="G65" s="127">
        <f t="shared" ref="G65:J65" si="5">G56+G57+G58+G59+G60+G61+G62+G63+G64</f>
        <v>0</v>
      </c>
      <c r="H65" s="127">
        <f t="shared" si="5"/>
        <v>1352</v>
      </c>
      <c r="I65" s="127">
        <f t="shared" si="5"/>
        <v>0</v>
      </c>
      <c r="J65" s="128">
        <f t="shared" si="5"/>
        <v>0</v>
      </c>
      <c r="K65" s="121"/>
      <c r="L65" s="170"/>
    </row>
    <row r="66" spans="1:12" ht="16.5" x14ac:dyDescent="0.25">
      <c r="A66" s="7" t="s">
        <v>48</v>
      </c>
      <c r="B66" s="8" t="s">
        <v>4</v>
      </c>
      <c r="C66" s="8"/>
      <c r="D66" s="292" t="s">
        <v>46</v>
      </c>
      <c r="E66" s="292"/>
      <c r="F66" s="292"/>
      <c r="G66" s="292"/>
      <c r="H66" s="292"/>
      <c r="I66" s="292"/>
      <c r="J66" s="292"/>
      <c r="K66" s="292"/>
      <c r="L66" s="293"/>
    </row>
    <row r="67" spans="1:12" ht="33" customHeight="1" thickBot="1" x14ac:dyDescent="0.3">
      <c r="A67" s="129"/>
      <c r="B67" s="130" t="s">
        <v>5</v>
      </c>
      <c r="C67" s="130"/>
      <c r="D67" s="393" t="s">
        <v>47</v>
      </c>
      <c r="E67" s="393"/>
      <c r="F67" s="393"/>
      <c r="G67" s="393"/>
      <c r="H67" s="393"/>
      <c r="I67" s="393"/>
      <c r="J67" s="393"/>
      <c r="K67" s="393"/>
      <c r="L67" s="394"/>
    </row>
    <row r="68" spans="1:12" s="131" customFormat="1" ht="17.25" thickBot="1" x14ac:dyDescent="0.3">
      <c r="A68" s="285" t="s">
        <v>49</v>
      </c>
      <c r="B68" s="286"/>
      <c r="C68" s="286"/>
      <c r="D68" s="286"/>
      <c r="E68" s="286"/>
      <c r="F68" s="286"/>
      <c r="G68" s="286"/>
      <c r="H68" s="286"/>
      <c r="I68" s="286"/>
      <c r="J68" s="286"/>
      <c r="K68" s="286"/>
      <c r="L68" s="287"/>
    </row>
    <row r="69" spans="1:12" ht="16.5" x14ac:dyDescent="0.25">
      <c r="A69" s="401" t="s">
        <v>50</v>
      </c>
      <c r="B69" s="338" t="s">
        <v>51</v>
      </c>
      <c r="C69" s="31"/>
      <c r="D69" s="5">
        <v>2018</v>
      </c>
      <c r="E69" s="21">
        <f>F69+G69+H69+J69</f>
        <v>395684.1</v>
      </c>
      <c r="F69" s="21">
        <v>0</v>
      </c>
      <c r="G69" s="21">
        <f>G78</f>
        <v>306118.7</v>
      </c>
      <c r="H69" s="21">
        <f>H78+H96+H105+H115+H124</f>
        <v>89565.4</v>
      </c>
      <c r="I69" s="21">
        <v>0</v>
      </c>
      <c r="J69" s="21">
        <v>0</v>
      </c>
      <c r="K69" s="267" t="s">
        <v>56</v>
      </c>
      <c r="L69" s="260" t="s">
        <v>38</v>
      </c>
    </row>
    <row r="70" spans="1:12" ht="16.5" x14ac:dyDescent="0.25">
      <c r="A70" s="402"/>
      <c r="B70" s="336"/>
      <c r="C70" s="32">
        <v>0</v>
      </c>
      <c r="D70" s="4">
        <v>2019</v>
      </c>
      <c r="E70" s="19">
        <f t="shared" ref="E70:E169" si="6">F70+G70+H70+J70</f>
        <v>411887.9</v>
      </c>
      <c r="F70" s="19">
        <v>0</v>
      </c>
      <c r="G70" s="19">
        <f t="shared" ref="G70:G73" si="7">G79</f>
        <v>318164</v>
      </c>
      <c r="H70" s="19">
        <f>H79+H97+H106+H116+H125</f>
        <v>93723.900000000009</v>
      </c>
      <c r="I70" s="19">
        <v>0</v>
      </c>
      <c r="J70" s="19">
        <v>0</v>
      </c>
      <c r="K70" s="268"/>
      <c r="L70" s="261"/>
    </row>
    <row r="71" spans="1:12" ht="16.5" x14ac:dyDescent="0.25">
      <c r="A71" s="402"/>
      <c r="B71" s="336"/>
      <c r="C71" s="32">
        <v>0</v>
      </c>
      <c r="D71" s="214">
        <v>2020</v>
      </c>
      <c r="E71" s="19">
        <f t="shared" si="6"/>
        <v>421625.8</v>
      </c>
      <c r="F71" s="23">
        <v>0</v>
      </c>
      <c r="G71" s="19">
        <f t="shared" si="7"/>
        <v>330071.5</v>
      </c>
      <c r="H71" s="19">
        <f>H80+H98+H107+H117+H126</f>
        <v>91554.3</v>
      </c>
      <c r="I71" s="19">
        <v>0</v>
      </c>
      <c r="J71" s="19">
        <v>0</v>
      </c>
      <c r="K71" s="268"/>
      <c r="L71" s="261"/>
    </row>
    <row r="72" spans="1:12" ht="16.5" x14ac:dyDescent="0.25">
      <c r="A72" s="402"/>
      <c r="B72" s="336"/>
      <c r="C72" s="33">
        <v>0</v>
      </c>
      <c r="D72" s="214">
        <v>2021</v>
      </c>
      <c r="E72" s="19">
        <f t="shared" si="6"/>
        <v>445861.7</v>
      </c>
      <c r="F72" s="23">
        <v>0</v>
      </c>
      <c r="G72" s="19">
        <f t="shared" si="7"/>
        <v>338734.3</v>
      </c>
      <c r="H72" s="19">
        <f>H81+H99+H108+H118+H127</f>
        <v>107127.40000000001</v>
      </c>
      <c r="I72" s="19">
        <v>0</v>
      </c>
      <c r="J72" s="19">
        <v>0</v>
      </c>
      <c r="K72" s="268"/>
      <c r="L72" s="261"/>
    </row>
    <row r="73" spans="1:12" ht="16.5" x14ac:dyDescent="0.25">
      <c r="A73" s="402"/>
      <c r="B73" s="336"/>
      <c r="C73" s="33">
        <v>0</v>
      </c>
      <c r="D73" s="214">
        <v>2022</v>
      </c>
      <c r="E73" s="19">
        <f t="shared" si="6"/>
        <v>497322</v>
      </c>
      <c r="F73" s="23">
        <v>0</v>
      </c>
      <c r="G73" s="19">
        <f t="shared" si="7"/>
        <v>371198.8</v>
      </c>
      <c r="H73" s="19">
        <f>H82+H100+H109+H119+H128</f>
        <v>126123.2</v>
      </c>
      <c r="I73" s="19">
        <v>0</v>
      </c>
      <c r="J73" s="19">
        <v>0</v>
      </c>
      <c r="K73" s="268"/>
      <c r="L73" s="261"/>
    </row>
    <row r="74" spans="1:12" ht="16.5" x14ac:dyDescent="0.25">
      <c r="A74" s="402"/>
      <c r="B74" s="336"/>
      <c r="C74" s="33">
        <v>0</v>
      </c>
      <c r="D74" s="214">
        <v>2023</v>
      </c>
      <c r="E74" s="19">
        <f t="shared" si="6"/>
        <v>535884.30000000005</v>
      </c>
      <c r="F74" s="23">
        <v>0</v>
      </c>
      <c r="G74" s="19">
        <f>G83+G92</f>
        <v>407477.7</v>
      </c>
      <c r="H74" s="19">
        <f>H83+H92+H101+H110+H120+H129</f>
        <v>128406.60000000002</v>
      </c>
      <c r="I74" s="19">
        <v>0</v>
      </c>
      <c r="J74" s="19">
        <v>0</v>
      </c>
      <c r="K74" s="268"/>
      <c r="L74" s="261"/>
    </row>
    <row r="75" spans="1:12" ht="16.5" x14ac:dyDescent="0.25">
      <c r="A75" s="402"/>
      <c r="B75" s="336"/>
      <c r="C75" s="33">
        <v>0</v>
      </c>
      <c r="D75" s="214">
        <v>2024</v>
      </c>
      <c r="E75" s="19">
        <f t="shared" si="6"/>
        <v>571001.19999999995</v>
      </c>
      <c r="F75" s="23">
        <v>0</v>
      </c>
      <c r="G75" s="19">
        <f>G84+G93</f>
        <v>425119.7</v>
      </c>
      <c r="H75" s="19">
        <f>H84+H102+H111+H121+H130+H93</f>
        <v>145881.5</v>
      </c>
      <c r="I75" s="19">
        <v>0</v>
      </c>
      <c r="J75" s="19">
        <v>0</v>
      </c>
      <c r="K75" s="268"/>
      <c r="L75" s="261"/>
    </row>
    <row r="76" spans="1:12" ht="16.5" x14ac:dyDescent="0.25">
      <c r="A76" s="402"/>
      <c r="B76" s="336"/>
      <c r="C76" s="33">
        <v>0</v>
      </c>
      <c r="D76" s="214">
        <v>2025</v>
      </c>
      <c r="E76" s="19">
        <f t="shared" si="6"/>
        <v>602506.30000000005</v>
      </c>
      <c r="F76" s="23">
        <v>0</v>
      </c>
      <c r="G76" s="19">
        <f>G85+G94</f>
        <v>457155.7</v>
      </c>
      <c r="H76" s="19">
        <f>H85+H103+H112+H122+H131+H94</f>
        <v>145350.6</v>
      </c>
      <c r="I76" s="19">
        <v>0</v>
      </c>
      <c r="J76" s="19">
        <v>0</v>
      </c>
      <c r="K76" s="268"/>
      <c r="L76" s="261"/>
    </row>
    <row r="77" spans="1:12" ht="16.5" x14ac:dyDescent="0.25">
      <c r="A77" s="402"/>
      <c r="B77" s="336"/>
      <c r="C77" s="33"/>
      <c r="D77" s="103">
        <v>2026</v>
      </c>
      <c r="E77" s="19">
        <f t="shared" si="6"/>
        <v>641444.1</v>
      </c>
      <c r="F77" s="23">
        <v>0</v>
      </c>
      <c r="G77" s="19">
        <f>G86+G95</f>
        <v>483878.3</v>
      </c>
      <c r="H77" s="19">
        <f>H86+H104+H113+H123+H132+H95</f>
        <v>157565.80000000002</v>
      </c>
      <c r="I77" s="19">
        <v>0</v>
      </c>
      <c r="J77" s="19">
        <v>0</v>
      </c>
      <c r="K77" s="268"/>
      <c r="L77" s="261"/>
    </row>
    <row r="78" spans="1:12" ht="16.5" x14ac:dyDescent="0.25">
      <c r="A78" s="402"/>
      <c r="B78" s="336" t="s">
        <v>52</v>
      </c>
      <c r="C78" s="32">
        <v>0</v>
      </c>
      <c r="D78" s="4">
        <v>2018</v>
      </c>
      <c r="E78" s="19">
        <f>F78+G78+H78+J78</f>
        <v>387008.2</v>
      </c>
      <c r="F78" s="19">
        <v>0</v>
      </c>
      <c r="G78" s="19">
        <v>306118.7</v>
      </c>
      <c r="H78" s="19">
        <v>80889.5</v>
      </c>
      <c r="I78" s="19">
        <v>0</v>
      </c>
      <c r="J78" s="19">
        <v>0</v>
      </c>
      <c r="K78" s="268"/>
      <c r="L78" s="261"/>
    </row>
    <row r="79" spans="1:12" ht="16.5" x14ac:dyDescent="0.25">
      <c r="A79" s="402"/>
      <c r="B79" s="336"/>
      <c r="C79" s="32">
        <v>0</v>
      </c>
      <c r="D79" s="4">
        <v>2019</v>
      </c>
      <c r="E79" s="19">
        <f t="shared" si="6"/>
        <v>404942.1</v>
      </c>
      <c r="F79" s="19">
        <v>0</v>
      </c>
      <c r="G79" s="19">
        <v>318164</v>
      </c>
      <c r="H79" s="19">
        <v>86778.1</v>
      </c>
      <c r="I79" s="19">
        <v>0</v>
      </c>
      <c r="J79" s="19">
        <v>0</v>
      </c>
      <c r="K79" s="268"/>
      <c r="L79" s="261"/>
    </row>
    <row r="80" spans="1:12" ht="16.5" x14ac:dyDescent="0.25">
      <c r="A80" s="402"/>
      <c r="B80" s="336"/>
      <c r="C80" s="32">
        <v>0</v>
      </c>
      <c r="D80" s="214">
        <v>2020</v>
      </c>
      <c r="E80" s="19">
        <f t="shared" si="6"/>
        <v>416470.1</v>
      </c>
      <c r="F80" s="23">
        <v>0</v>
      </c>
      <c r="G80" s="19">
        <v>330071.5</v>
      </c>
      <c r="H80" s="19">
        <v>86398.6</v>
      </c>
      <c r="I80" s="19">
        <v>0</v>
      </c>
      <c r="J80" s="19">
        <v>0</v>
      </c>
      <c r="K80" s="268"/>
      <c r="L80" s="261"/>
    </row>
    <row r="81" spans="1:12" ht="16.5" x14ac:dyDescent="0.25">
      <c r="A81" s="402"/>
      <c r="B81" s="336"/>
      <c r="C81" s="33">
        <v>0</v>
      </c>
      <c r="D81" s="214">
        <v>2021</v>
      </c>
      <c r="E81" s="19">
        <f t="shared" si="6"/>
        <v>445547.6</v>
      </c>
      <c r="F81" s="23">
        <v>0</v>
      </c>
      <c r="G81" s="19">
        <v>338734.3</v>
      </c>
      <c r="H81" s="19">
        <v>106813.3</v>
      </c>
      <c r="I81" s="19">
        <v>0</v>
      </c>
      <c r="J81" s="19">
        <v>0</v>
      </c>
      <c r="K81" s="268"/>
      <c r="L81" s="261"/>
    </row>
    <row r="82" spans="1:12" ht="16.5" x14ac:dyDescent="0.25">
      <c r="A82" s="402"/>
      <c r="B82" s="336"/>
      <c r="C82" s="33">
        <v>0</v>
      </c>
      <c r="D82" s="214">
        <v>2022</v>
      </c>
      <c r="E82" s="19">
        <f t="shared" si="6"/>
        <v>495773.5</v>
      </c>
      <c r="F82" s="23">
        <v>0</v>
      </c>
      <c r="G82" s="19">
        <f>342193.5+28654.5+350.8</f>
        <v>371198.8</v>
      </c>
      <c r="H82" s="19">
        <f>122626.7+671.6+1747-48.5+130-1197.5+645.4</f>
        <v>124574.7</v>
      </c>
      <c r="I82" s="19">
        <v>0</v>
      </c>
      <c r="J82" s="19">
        <v>0</v>
      </c>
      <c r="K82" s="268"/>
      <c r="L82" s="261"/>
    </row>
    <row r="83" spans="1:12" ht="16.5" x14ac:dyDescent="0.25">
      <c r="A83" s="402"/>
      <c r="B83" s="336"/>
      <c r="C83" s="33">
        <v>0</v>
      </c>
      <c r="D83" s="214">
        <v>2023</v>
      </c>
      <c r="E83" s="19">
        <f t="shared" si="6"/>
        <v>487172.60000000003</v>
      </c>
      <c r="F83" s="23">
        <v>0</v>
      </c>
      <c r="G83" s="19">
        <f>343740.2+1956-29.3+4532.8+8793.3</f>
        <v>358993</v>
      </c>
      <c r="H83" s="19">
        <f>119761.6+505.8+1373.5+416+171.6+376.9+4711.6+53.8+120.6+862.4+212-386.2</f>
        <v>128179.60000000002</v>
      </c>
      <c r="I83" s="19">
        <v>0</v>
      </c>
      <c r="J83" s="19">
        <v>0</v>
      </c>
      <c r="K83" s="268"/>
      <c r="L83" s="261"/>
    </row>
    <row r="84" spans="1:12" ht="16.5" x14ac:dyDescent="0.25">
      <c r="A84" s="402"/>
      <c r="B84" s="336"/>
      <c r="C84" s="33">
        <v>0</v>
      </c>
      <c r="D84" s="214">
        <v>2024</v>
      </c>
      <c r="E84" s="19">
        <f t="shared" si="6"/>
        <v>513552.5</v>
      </c>
      <c r="F84" s="23">
        <v>0</v>
      </c>
      <c r="G84" s="138">
        <f>424812.5-G93+307.2</f>
        <v>367842.10000000003</v>
      </c>
      <c r="H84" s="178">
        <f>145710.4</f>
        <v>145710.39999999999</v>
      </c>
      <c r="I84" s="19">
        <v>0</v>
      </c>
      <c r="J84" s="19">
        <v>0</v>
      </c>
      <c r="K84" s="268"/>
      <c r="L84" s="261"/>
    </row>
    <row r="85" spans="1:12" ht="16.5" x14ac:dyDescent="0.25">
      <c r="A85" s="402"/>
      <c r="B85" s="336"/>
      <c r="C85" s="33">
        <v>0</v>
      </c>
      <c r="D85" s="214">
        <v>2025</v>
      </c>
      <c r="E85" s="19">
        <f t="shared" si="6"/>
        <v>545137.60000000009</v>
      </c>
      <c r="F85" s="23">
        <v>0</v>
      </c>
      <c r="G85" s="138">
        <f>457155.7-G94</f>
        <v>399878.10000000003</v>
      </c>
      <c r="H85" s="138">
        <v>145259.5</v>
      </c>
      <c r="I85" s="19">
        <v>0</v>
      </c>
      <c r="J85" s="19">
        <v>0</v>
      </c>
      <c r="K85" s="268"/>
      <c r="L85" s="261"/>
    </row>
    <row r="86" spans="1:12" ht="16.5" x14ac:dyDescent="0.25">
      <c r="A86" s="402"/>
      <c r="B86" s="336"/>
      <c r="C86" s="33"/>
      <c r="D86" s="103">
        <v>2026</v>
      </c>
      <c r="E86" s="19">
        <f t="shared" si="6"/>
        <v>584075.4</v>
      </c>
      <c r="F86" s="23">
        <v>0</v>
      </c>
      <c r="G86" s="138">
        <f>483878.3-G95</f>
        <v>426600.7</v>
      </c>
      <c r="H86" s="138">
        <v>157474.70000000001</v>
      </c>
      <c r="I86" s="19">
        <v>0</v>
      </c>
      <c r="J86" s="19">
        <v>0</v>
      </c>
      <c r="K86" s="268"/>
      <c r="L86" s="261"/>
    </row>
    <row r="87" spans="1:12" ht="16.5" x14ac:dyDescent="0.25">
      <c r="A87" s="402"/>
      <c r="B87" s="336" t="s">
        <v>212</v>
      </c>
      <c r="C87" s="32">
        <v>0</v>
      </c>
      <c r="D87" s="4">
        <v>2018</v>
      </c>
      <c r="E87" s="19">
        <f t="shared" ref="E87:E95" si="8">F87+G87+H87+J87</f>
        <v>0</v>
      </c>
      <c r="F87" s="19">
        <v>0</v>
      </c>
      <c r="G87" s="19">
        <v>0</v>
      </c>
      <c r="H87" s="19">
        <v>0</v>
      </c>
      <c r="I87" s="19">
        <v>0</v>
      </c>
      <c r="J87" s="19">
        <v>0</v>
      </c>
      <c r="K87" s="268"/>
      <c r="L87" s="261"/>
    </row>
    <row r="88" spans="1:12" ht="16.5" x14ac:dyDescent="0.25">
      <c r="A88" s="402"/>
      <c r="B88" s="336"/>
      <c r="C88" s="32">
        <v>0</v>
      </c>
      <c r="D88" s="4">
        <v>2019</v>
      </c>
      <c r="E88" s="19">
        <f t="shared" si="8"/>
        <v>0</v>
      </c>
      <c r="F88" s="19">
        <v>0</v>
      </c>
      <c r="G88" s="19">
        <v>0</v>
      </c>
      <c r="H88" s="19">
        <v>0</v>
      </c>
      <c r="I88" s="19">
        <v>0</v>
      </c>
      <c r="J88" s="19">
        <v>0</v>
      </c>
      <c r="K88" s="268"/>
      <c r="L88" s="261"/>
    </row>
    <row r="89" spans="1:12" ht="16.5" x14ac:dyDescent="0.25">
      <c r="A89" s="402"/>
      <c r="B89" s="336"/>
      <c r="C89" s="32">
        <v>0</v>
      </c>
      <c r="D89" s="214">
        <v>2020</v>
      </c>
      <c r="E89" s="19">
        <f t="shared" si="8"/>
        <v>0</v>
      </c>
      <c r="F89" s="23">
        <v>0</v>
      </c>
      <c r="G89" s="19">
        <v>0</v>
      </c>
      <c r="H89" s="19">
        <v>0</v>
      </c>
      <c r="I89" s="19">
        <v>0</v>
      </c>
      <c r="J89" s="19">
        <v>0</v>
      </c>
      <c r="K89" s="268"/>
      <c r="L89" s="261"/>
    </row>
    <row r="90" spans="1:12" ht="16.5" x14ac:dyDescent="0.25">
      <c r="A90" s="402"/>
      <c r="B90" s="336"/>
      <c r="C90" s="33">
        <v>0</v>
      </c>
      <c r="D90" s="214">
        <v>2021</v>
      </c>
      <c r="E90" s="19">
        <f t="shared" si="8"/>
        <v>0</v>
      </c>
      <c r="F90" s="23">
        <v>0</v>
      </c>
      <c r="G90" s="19">
        <v>0</v>
      </c>
      <c r="H90" s="19">
        <v>0</v>
      </c>
      <c r="I90" s="19">
        <v>0</v>
      </c>
      <c r="J90" s="19">
        <v>0</v>
      </c>
      <c r="K90" s="268"/>
      <c r="L90" s="261"/>
    </row>
    <row r="91" spans="1:12" ht="16.5" x14ac:dyDescent="0.25">
      <c r="A91" s="402"/>
      <c r="B91" s="336"/>
      <c r="C91" s="33">
        <v>0</v>
      </c>
      <c r="D91" s="214">
        <v>2022</v>
      </c>
      <c r="E91" s="19">
        <f t="shared" si="8"/>
        <v>0</v>
      </c>
      <c r="F91" s="23">
        <v>0</v>
      </c>
      <c r="G91" s="19">
        <v>0</v>
      </c>
      <c r="H91" s="19">
        <v>0</v>
      </c>
      <c r="I91" s="19">
        <v>0</v>
      </c>
      <c r="J91" s="19">
        <v>0</v>
      </c>
      <c r="K91" s="268"/>
      <c r="L91" s="261"/>
    </row>
    <row r="92" spans="1:12" ht="16.5" x14ac:dyDescent="0.25">
      <c r="A92" s="402"/>
      <c r="B92" s="336"/>
      <c r="C92" s="33">
        <v>0</v>
      </c>
      <c r="D92" s="214">
        <v>2023</v>
      </c>
      <c r="E92" s="19">
        <f t="shared" si="8"/>
        <v>48484.7</v>
      </c>
      <c r="F92" s="23">
        <v>0</v>
      </c>
      <c r="G92" s="19">
        <f>57277.6-8792.9</f>
        <v>48484.7</v>
      </c>
      <c r="H92" s="19">
        <v>0</v>
      </c>
      <c r="I92" s="19">
        <v>0</v>
      </c>
      <c r="J92" s="19">
        <v>0</v>
      </c>
      <c r="K92" s="268"/>
      <c r="L92" s="261"/>
    </row>
    <row r="93" spans="1:12" ht="16.5" x14ac:dyDescent="0.25">
      <c r="A93" s="402"/>
      <c r="B93" s="336"/>
      <c r="C93" s="33">
        <v>0</v>
      </c>
      <c r="D93" s="214">
        <v>2024</v>
      </c>
      <c r="E93" s="19">
        <f t="shared" si="8"/>
        <v>57277.599999999999</v>
      </c>
      <c r="F93" s="23">
        <v>0</v>
      </c>
      <c r="G93" s="19">
        <v>57277.599999999999</v>
      </c>
      <c r="H93" s="19">
        <v>0</v>
      </c>
      <c r="I93" s="19">
        <v>0</v>
      </c>
      <c r="J93" s="19">
        <v>0</v>
      </c>
      <c r="K93" s="268"/>
      <c r="L93" s="261"/>
    </row>
    <row r="94" spans="1:12" ht="16.5" x14ac:dyDescent="0.25">
      <c r="A94" s="402"/>
      <c r="B94" s="336"/>
      <c r="C94" s="33">
        <v>0</v>
      </c>
      <c r="D94" s="214">
        <v>2025</v>
      </c>
      <c r="E94" s="19">
        <f t="shared" si="8"/>
        <v>57277.599999999999</v>
      </c>
      <c r="F94" s="23">
        <v>0</v>
      </c>
      <c r="G94" s="19">
        <v>57277.599999999999</v>
      </c>
      <c r="H94" s="19">
        <v>0</v>
      </c>
      <c r="I94" s="19">
        <v>0</v>
      </c>
      <c r="J94" s="19">
        <v>0</v>
      </c>
      <c r="K94" s="268"/>
      <c r="L94" s="261"/>
    </row>
    <row r="95" spans="1:12" ht="16.5" x14ac:dyDescent="0.25">
      <c r="A95" s="402"/>
      <c r="B95" s="336"/>
      <c r="C95" s="33"/>
      <c r="D95" s="103">
        <v>2026</v>
      </c>
      <c r="E95" s="19">
        <f t="shared" si="8"/>
        <v>57277.599999999999</v>
      </c>
      <c r="F95" s="23">
        <v>0</v>
      </c>
      <c r="G95" s="19">
        <v>57277.599999999999</v>
      </c>
      <c r="H95" s="19">
        <v>0</v>
      </c>
      <c r="I95" s="19">
        <v>0</v>
      </c>
      <c r="J95" s="19">
        <v>0</v>
      </c>
      <c r="K95" s="268"/>
      <c r="L95" s="261"/>
    </row>
    <row r="96" spans="1:12" ht="16.5" x14ac:dyDescent="0.25">
      <c r="A96" s="402"/>
      <c r="B96" s="314" t="s">
        <v>211</v>
      </c>
      <c r="C96" s="32">
        <v>0</v>
      </c>
      <c r="D96" s="4">
        <v>2018</v>
      </c>
      <c r="E96" s="19">
        <f t="shared" si="6"/>
        <v>2000</v>
      </c>
      <c r="F96" s="19">
        <v>0</v>
      </c>
      <c r="G96" s="19">
        <v>0</v>
      </c>
      <c r="H96" s="19">
        <v>2000</v>
      </c>
      <c r="I96" s="19">
        <v>0</v>
      </c>
      <c r="J96" s="19">
        <v>0</v>
      </c>
      <c r="K96" s="268"/>
      <c r="L96" s="261"/>
    </row>
    <row r="97" spans="1:12" ht="16.5" x14ac:dyDescent="0.25">
      <c r="A97" s="402"/>
      <c r="B97" s="314"/>
      <c r="C97" s="32">
        <v>0</v>
      </c>
      <c r="D97" s="4">
        <v>2019</v>
      </c>
      <c r="E97" s="19">
        <f t="shared" si="6"/>
        <v>0</v>
      </c>
      <c r="F97" s="19">
        <v>0</v>
      </c>
      <c r="G97" s="19">
        <v>0</v>
      </c>
      <c r="H97" s="19">
        <v>0</v>
      </c>
      <c r="I97" s="19">
        <v>0</v>
      </c>
      <c r="J97" s="19">
        <v>0</v>
      </c>
      <c r="K97" s="268"/>
      <c r="L97" s="261"/>
    </row>
    <row r="98" spans="1:12" ht="16.5" x14ac:dyDescent="0.25">
      <c r="A98" s="402"/>
      <c r="B98" s="314"/>
      <c r="C98" s="32">
        <v>0</v>
      </c>
      <c r="D98" s="214">
        <v>2020</v>
      </c>
      <c r="E98" s="19">
        <f t="shared" si="6"/>
        <v>298</v>
      </c>
      <c r="F98" s="23">
        <v>0</v>
      </c>
      <c r="G98" s="19">
        <v>0</v>
      </c>
      <c r="H98" s="19">
        <v>298</v>
      </c>
      <c r="I98" s="19">
        <v>0</v>
      </c>
      <c r="J98" s="19">
        <v>0</v>
      </c>
      <c r="K98" s="268"/>
      <c r="L98" s="261"/>
    </row>
    <row r="99" spans="1:12" ht="16.5" x14ac:dyDescent="0.25">
      <c r="A99" s="402"/>
      <c r="B99" s="314"/>
      <c r="C99" s="33">
        <v>0</v>
      </c>
      <c r="D99" s="214">
        <v>2021</v>
      </c>
      <c r="E99" s="19">
        <f t="shared" si="6"/>
        <v>314.10000000000002</v>
      </c>
      <c r="F99" s="23">
        <v>0</v>
      </c>
      <c r="G99" s="19">
        <v>0</v>
      </c>
      <c r="H99" s="19">
        <v>314.10000000000002</v>
      </c>
      <c r="I99" s="19">
        <v>0</v>
      </c>
      <c r="J99" s="19">
        <v>0</v>
      </c>
      <c r="K99" s="268"/>
      <c r="L99" s="261"/>
    </row>
    <row r="100" spans="1:12" ht="16.5" x14ac:dyDescent="0.25">
      <c r="A100" s="402"/>
      <c r="B100" s="314"/>
      <c r="C100" s="33">
        <v>0</v>
      </c>
      <c r="D100" s="214">
        <v>2022</v>
      </c>
      <c r="E100" s="19">
        <f t="shared" si="6"/>
        <v>1500</v>
      </c>
      <c r="F100" s="23">
        <v>0</v>
      </c>
      <c r="G100" s="19">
        <v>0</v>
      </c>
      <c r="H100" s="19">
        <v>1500</v>
      </c>
      <c r="I100" s="19">
        <v>0</v>
      </c>
      <c r="J100" s="19">
        <v>0</v>
      </c>
      <c r="K100" s="268"/>
      <c r="L100" s="261"/>
    </row>
    <row r="101" spans="1:12" ht="16.5" x14ac:dyDescent="0.25">
      <c r="A101" s="402"/>
      <c r="B101" s="314"/>
      <c r="C101" s="33">
        <v>0</v>
      </c>
      <c r="D101" s="214">
        <v>2023</v>
      </c>
      <c r="E101" s="19">
        <f t="shared" si="6"/>
        <v>113.6</v>
      </c>
      <c r="F101" s="23">
        <v>0</v>
      </c>
      <c r="G101" s="19">
        <v>0</v>
      </c>
      <c r="H101" s="19">
        <v>113.6</v>
      </c>
      <c r="I101" s="19">
        <v>0</v>
      </c>
      <c r="J101" s="19">
        <v>0</v>
      </c>
      <c r="K101" s="268"/>
      <c r="L101" s="261"/>
    </row>
    <row r="102" spans="1:12" ht="16.5" x14ac:dyDescent="0.25">
      <c r="A102" s="402"/>
      <c r="B102" s="314"/>
      <c r="C102" s="33">
        <v>0</v>
      </c>
      <c r="D102" s="214">
        <v>2024</v>
      </c>
      <c r="E102" s="19">
        <f t="shared" si="6"/>
        <v>80</v>
      </c>
      <c r="F102" s="23">
        <v>0</v>
      </c>
      <c r="G102" s="19">
        <v>0</v>
      </c>
      <c r="H102" s="138">
        <f>80</f>
        <v>80</v>
      </c>
      <c r="I102" s="19">
        <v>0</v>
      </c>
      <c r="J102" s="19">
        <v>0</v>
      </c>
      <c r="K102" s="268"/>
      <c r="L102" s="261"/>
    </row>
    <row r="103" spans="1:12" ht="16.5" x14ac:dyDescent="0.25">
      <c r="A103" s="402"/>
      <c r="B103" s="314"/>
      <c r="C103" s="33">
        <v>0</v>
      </c>
      <c r="D103" s="214">
        <v>2025</v>
      </c>
      <c r="E103" s="19">
        <f t="shared" si="6"/>
        <v>0</v>
      </c>
      <c r="F103" s="23">
        <v>0</v>
      </c>
      <c r="G103" s="19">
        <v>0</v>
      </c>
      <c r="H103" s="138">
        <v>0</v>
      </c>
      <c r="I103" s="19">
        <v>0</v>
      </c>
      <c r="J103" s="19">
        <v>0</v>
      </c>
      <c r="K103" s="268"/>
      <c r="L103" s="261"/>
    </row>
    <row r="104" spans="1:12" ht="16.5" x14ac:dyDescent="0.25">
      <c r="A104" s="402"/>
      <c r="B104" s="314"/>
      <c r="C104" s="33"/>
      <c r="D104" s="103">
        <v>2026</v>
      </c>
      <c r="E104" s="19">
        <f t="shared" si="6"/>
        <v>0</v>
      </c>
      <c r="F104" s="23">
        <v>0</v>
      </c>
      <c r="G104" s="19">
        <v>0</v>
      </c>
      <c r="H104" s="138">
        <v>0</v>
      </c>
      <c r="I104" s="19">
        <v>0</v>
      </c>
      <c r="J104" s="19">
        <v>0</v>
      </c>
      <c r="K104" s="268"/>
      <c r="L104" s="261"/>
    </row>
    <row r="105" spans="1:12" ht="16.5" x14ac:dyDescent="0.25">
      <c r="A105" s="402"/>
      <c r="B105" s="314" t="s">
        <v>53</v>
      </c>
      <c r="C105" s="32">
        <v>0</v>
      </c>
      <c r="D105" s="4">
        <v>2018</v>
      </c>
      <c r="E105" s="19">
        <f t="shared" si="6"/>
        <v>6675.9</v>
      </c>
      <c r="F105" s="19">
        <v>0</v>
      </c>
      <c r="G105" s="19">
        <v>0</v>
      </c>
      <c r="H105" s="19">
        <v>6675.9</v>
      </c>
      <c r="I105" s="19">
        <v>0</v>
      </c>
      <c r="J105" s="19">
        <v>0</v>
      </c>
      <c r="K105" s="268"/>
      <c r="L105" s="261"/>
    </row>
    <row r="106" spans="1:12" ht="16.5" x14ac:dyDescent="0.25">
      <c r="A106" s="402"/>
      <c r="B106" s="314"/>
      <c r="C106" s="32">
        <v>0</v>
      </c>
      <c r="D106" s="4">
        <v>2019</v>
      </c>
      <c r="E106" s="19">
        <f t="shared" si="6"/>
        <v>6879.7</v>
      </c>
      <c r="F106" s="19">
        <v>0</v>
      </c>
      <c r="G106" s="19">
        <v>0</v>
      </c>
      <c r="H106" s="19">
        <v>6879.7</v>
      </c>
      <c r="I106" s="19">
        <v>0</v>
      </c>
      <c r="J106" s="19">
        <v>0</v>
      </c>
      <c r="K106" s="268"/>
      <c r="L106" s="261"/>
    </row>
    <row r="107" spans="1:12" ht="16.5" x14ac:dyDescent="0.25">
      <c r="A107" s="402"/>
      <c r="B107" s="314"/>
      <c r="C107" s="32">
        <v>0</v>
      </c>
      <c r="D107" s="214">
        <v>2020</v>
      </c>
      <c r="E107" s="19">
        <f t="shared" si="6"/>
        <v>4857.7</v>
      </c>
      <c r="F107" s="23">
        <v>0</v>
      </c>
      <c r="G107" s="19">
        <v>0</v>
      </c>
      <c r="H107" s="19">
        <v>4857.7</v>
      </c>
      <c r="I107" s="19">
        <v>0</v>
      </c>
      <c r="J107" s="19">
        <v>0</v>
      </c>
      <c r="K107" s="268"/>
      <c r="L107" s="261"/>
    </row>
    <row r="108" spans="1:12" ht="16.5" x14ac:dyDescent="0.25">
      <c r="A108" s="402"/>
      <c r="B108" s="314"/>
      <c r="C108" s="33">
        <v>0</v>
      </c>
      <c r="D108" s="214">
        <v>2021</v>
      </c>
      <c r="E108" s="19">
        <f t="shared" si="6"/>
        <v>0</v>
      </c>
      <c r="F108" s="23">
        <v>0</v>
      </c>
      <c r="G108" s="19">
        <v>0</v>
      </c>
      <c r="H108" s="19">
        <v>0</v>
      </c>
      <c r="I108" s="19">
        <v>0</v>
      </c>
      <c r="J108" s="19">
        <v>0</v>
      </c>
      <c r="K108" s="268"/>
      <c r="L108" s="261"/>
    </row>
    <row r="109" spans="1:12" ht="16.5" x14ac:dyDescent="0.25">
      <c r="A109" s="402"/>
      <c r="B109" s="314"/>
      <c r="C109" s="33">
        <v>0</v>
      </c>
      <c r="D109" s="214">
        <v>2022</v>
      </c>
      <c r="E109" s="19">
        <f t="shared" si="6"/>
        <v>0</v>
      </c>
      <c r="F109" s="23">
        <v>0</v>
      </c>
      <c r="G109" s="19">
        <v>0</v>
      </c>
      <c r="H109" s="19">
        <v>0</v>
      </c>
      <c r="I109" s="19">
        <v>0</v>
      </c>
      <c r="J109" s="19">
        <v>0</v>
      </c>
      <c r="K109" s="268"/>
      <c r="L109" s="261"/>
    </row>
    <row r="110" spans="1:12" ht="16.5" x14ac:dyDescent="0.25">
      <c r="A110" s="402"/>
      <c r="B110" s="314"/>
      <c r="C110" s="33">
        <v>0</v>
      </c>
      <c r="D110" s="214">
        <v>2023</v>
      </c>
      <c r="E110" s="19">
        <f t="shared" si="6"/>
        <v>0</v>
      </c>
      <c r="F110" s="23">
        <v>0</v>
      </c>
      <c r="G110" s="19">
        <v>0</v>
      </c>
      <c r="H110" s="19">
        <v>0</v>
      </c>
      <c r="I110" s="19">
        <v>0</v>
      </c>
      <c r="J110" s="19">
        <v>0</v>
      </c>
      <c r="K110" s="268"/>
      <c r="L110" s="261"/>
    </row>
    <row r="111" spans="1:12" ht="16.5" x14ac:dyDescent="0.25">
      <c r="A111" s="402"/>
      <c r="B111" s="314"/>
      <c r="C111" s="33">
        <v>0</v>
      </c>
      <c r="D111" s="214">
        <v>2024</v>
      </c>
      <c r="E111" s="19">
        <f t="shared" si="6"/>
        <v>0</v>
      </c>
      <c r="F111" s="23">
        <v>0</v>
      </c>
      <c r="G111" s="19">
        <v>0</v>
      </c>
      <c r="H111" s="19">
        <v>0</v>
      </c>
      <c r="I111" s="19">
        <v>0</v>
      </c>
      <c r="J111" s="19">
        <v>0</v>
      </c>
      <c r="K111" s="268"/>
      <c r="L111" s="261"/>
    </row>
    <row r="112" spans="1:12" ht="17.25" thickBot="1" x14ac:dyDescent="0.3">
      <c r="A112" s="402"/>
      <c r="B112" s="314"/>
      <c r="C112" s="48">
        <v>0</v>
      </c>
      <c r="D112" s="218">
        <v>2025</v>
      </c>
      <c r="E112" s="20">
        <f t="shared" si="6"/>
        <v>0</v>
      </c>
      <c r="F112" s="25">
        <v>0</v>
      </c>
      <c r="G112" s="20">
        <v>0</v>
      </c>
      <c r="H112" s="20">
        <v>0</v>
      </c>
      <c r="I112" s="20">
        <v>0</v>
      </c>
      <c r="J112" s="20">
        <v>0</v>
      </c>
      <c r="K112" s="268"/>
      <c r="L112" s="261"/>
    </row>
    <row r="113" spans="1:12" s="1" customFormat="1" ht="17.25" thickBot="1" x14ac:dyDescent="0.3">
      <c r="A113" s="403"/>
      <c r="B113" s="315"/>
      <c r="C113" s="181"/>
      <c r="D113" s="182">
        <v>2026</v>
      </c>
      <c r="E113" s="150">
        <f t="shared" si="6"/>
        <v>0</v>
      </c>
      <c r="F113" s="183">
        <v>0</v>
      </c>
      <c r="G113" s="150">
        <v>0</v>
      </c>
      <c r="H113" s="150">
        <v>0</v>
      </c>
      <c r="I113" s="150">
        <v>0</v>
      </c>
      <c r="J113" s="150">
        <v>0</v>
      </c>
      <c r="K113" s="269"/>
      <c r="L113" s="262"/>
    </row>
    <row r="114" spans="1:12" s="131" customFormat="1" ht="19.5" thickBot="1" x14ac:dyDescent="0.3">
      <c r="A114" s="133">
        <v>1</v>
      </c>
      <c r="B114" s="15">
        <v>2</v>
      </c>
      <c r="C114" s="15"/>
      <c r="D114" s="15">
        <v>3</v>
      </c>
      <c r="E114" s="15">
        <v>4</v>
      </c>
      <c r="F114" s="15">
        <v>5</v>
      </c>
      <c r="G114" s="15">
        <v>6</v>
      </c>
      <c r="H114" s="15">
        <v>7</v>
      </c>
      <c r="I114" s="15">
        <v>8</v>
      </c>
      <c r="J114" s="15">
        <v>9</v>
      </c>
      <c r="K114" s="171">
        <v>10</v>
      </c>
      <c r="L114" s="171">
        <v>11</v>
      </c>
    </row>
    <row r="115" spans="1:12" ht="16.5" x14ac:dyDescent="0.25">
      <c r="A115" s="361" t="s">
        <v>50</v>
      </c>
      <c r="B115" s="338" t="s">
        <v>54</v>
      </c>
      <c r="C115" s="161">
        <v>0</v>
      </c>
      <c r="D115" s="38">
        <v>2018</v>
      </c>
      <c r="E115" s="18">
        <f t="shared" si="6"/>
        <v>0</v>
      </c>
      <c r="F115" s="18">
        <v>0</v>
      </c>
      <c r="G115" s="18">
        <v>0</v>
      </c>
      <c r="H115" s="18">
        <v>0</v>
      </c>
      <c r="I115" s="18">
        <v>0</v>
      </c>
      <c r="J115" s="18">
        <v>0</v>
      </c>
      <c r="K115" s="387"/>
      <c r="L115" s="390"/>
    </row>
    <row r="116" spans="1:12" ht="16.5" x14ac:dyDescent="0.25">
      <c r="A116" s="362"/>
      <c r="B116" s="336"/>
      <c r="C116" s="32">
        <v>0</v>
      </c>
      <c r="D116" s="4">
        <v>2019</v>
      </c>
      <c r="E116" s="19">
        <f t="shared" si="6"/>
        <v>66.099999999999994</v>
      </c>
      <c r="F116" s="19">
        <v>0</v>
      </c>
      <c r="G116" s="19">
        <v>0</v>
      </c>
      <c r="H116" s="19">
        <v>66.099999999999994</v>
      </c>
      <c r="I116" s="19">
        <v>0</v>
      </c>
      <c r="J116" s="19">
        <v>0</v>
      </c>
      <c r="K116" s="388"/>
      <c r="L116" s="391"/>
    </row>
    <row r="117" spans="1:12" ht="16.5" x14ac:dyDescent="0.25">
      <c r="A117" s="362"/>
      <c r="B117" s="336"/>
      <c r="C117" s="32">
        <v>0</v>
      </c>
      <c r="D117" s="214">
        <v>2020</v>
      </c>
      <c r="E117" s="19">
        <f t="shared" si="6"/>
        <v>0</v>
      </c>
      <c r="F117" s="23">
        <v>0</v>
      </c>
      <c r="G117" s="19">
        <v>0</v>
      </c>
      <c r="H117" s="19">
        <v>0</v>
      </c>
      <c r="I117" s="19">
        <v>0</v>
      </c>
      <c r="J117" s="19">
        <v>0</v>
      </c>
      <c r="K117" s="388"/>
      <c r="L117" s="391"/>
    </row>
    <row r="118" spans="1:12" ht="16.5" x14ac:dyDescent="0.25">
      <c r="A118" s="362"/>
      <c r="B118" s="336"/>
      <c r="C118" s="33">
        <v>0</v>
      </c>
      <c r="D118" s="214">
        <v>2021</v>
      </c>
      <c r="E118" s="19">
        <f t="shared" si="6"/>
        <v>0</v>
      </c>
      <c r="F118" s="23">
        <v>0</v>
      </c>
      <c r="G118" s="19">
        <v>0</v>
      </c>
      <c r="H118" s="19">
        <v>0</v>
      </c>
      <c r="I118" s="19">
        <v>0</v>
      </c>
      <c r="J118" s="19">
        <v>0</v>
      </c>
      <c r="K118" s="388"/>
      <c r="L118" s="391"/>
    </row>
    <row r="119" spans="1:12" ht="16.5" x14ac:dyDescent="0.25">
      <c r="A119" s="362"/>
      <c r="B119" s="336"/>
      <c r="C119" s="33">
        <v>0</v>
      </c>
      <c r="D119" s="214">
        <v>2022</v>
      </c>
      <c r="E119" s="19">
        <f t="shared" si="6"/>
        <v>0</v>
      </c>
      <c r="F119" s="23">
        <v>0</v>
      </c>
      <c r="G119" s="19">
        <v>0</v>
      </c>
      <c r="H119" s="19">
        <v>0</v>
      </c>
      <c r="I119" s="19">
        <v>0</v>
      </c>
      <c r="J119" s="19">
        <v>0</v>
      </c>
      <c r="K119" s="388"/>
      <c r="L119" s="391"/>
    </row>
    <row r="120" spans="1:12" ht="16.5" x14ac:dyDescent="0.25">
      <c r="A120" s="362"/>
      <c r="B120" s="336"/>
      <c r="C120" s="33">
        <v>0</v>
      </c>
      <c r="D120" s="214">
        <v>2023</v>
      </c>
      <c r="E120" s="19">
        <f t="shared" si="6"/>
        <v>0</v>
      </c>
      <c r="F120" s="23">
        <v>0</v>
      </c>
      <c r="G120" s="19">
        <v>0</v>
      </c>
      <c r="H120" s="19">
        <v>0</v>
      </c>
      <c r="I120" s="19">
        <v>0</v>
      </c>
      <c r="J120" s="19">
        <v>0</v>
      </c>
      <c r="K120" s="388"/>
      <c r="L120" s="391"/>
    </row>
    <row r="121" spans="1:12" ht="16.5" x14ac:dyDescent="0.25">
      <c r="A121" s="362"/>
      <c r="B121" s="336"/>
      <c r="C121" s="33">
        <v>0</v>
      </c>
      <c r="D121" s="214">
        <v>2024</v>
      </c>
      <c r="E121" s="19">
        <f t="shared" si="6"/>
        <v>0</v>
      </c>
      <c r="F121" s="23">
        <v>0</v>
      </c>
      <c r="G121" s="19">
        <v>0</v>
      </c>
      <c r="H121" s="19">
        <v>0</v>
      </c>
      <c r="I121" s="19">
        <v>0</v>
      </c>
      <c r="J121" s="19">
        <v>0</v>
      </c>
      <c r="K121" s="388"/>
      <c r="L121" s="391"/>
    </row>
    <row r="122" spans="1:12" ht="16.5" x14ac:dyDescent="0.25">
      <c r="A122" s="362"/>
      <c r="B122" s="336"/>
      <c r="C122" s="33">
        <v>0</v>
      </c>
      <c r="D122" s="214">
        <v>2025</v>
      </c>
      <c r="E122" s="19">
        <f t="shared" si="6"/>
        <v>0</v>
      </c>
      <c r="F122" s="23">
        <v>0</v>
      </c>
      <c r="G122" s="19">
        <v>0</v>
      </c>
      <c r="H122" s="19">
        <v>0</v>
      </c>
      <c r="I122" s="19">
        <v>0</v>
      </c>
      <c r="J122" s="19">
        <v>0</v>
      </c>
      <c r="K122" s="388"/>
      <c r="L122" s="391"/>
    </row>
    <row r="123" spans="1:12" ht="16.5" x14ac:dyDescent="0.25">
      <c r="A123" s="362"/>
      <c r="B123" s="336"/>
      <c r="C123" s="33"/>
      <c r="D123" s="103">
        <v>2026</v>
      </c>
      <c r="E123" s="19">
        <f t="shared" si="6"/>
        <v>0</v>
      </c>
      <c r="F123" s="23">
        <v>0</v>
      </c>
      <c r="G123" s="19">
        <v>0</v>
      </c>
      <c r="H123" s="19">
        <v>0</v>
      </c>
      <c r="I123" s="19">
        <v>0</v>
      </c>
      <c r="J123" s="19">
        <v>0</v>
      </c>
      <c r="K123" s="388"/>
      <c r="L123" s="391"/>
    </row>
    <row r="124" spans="1:12" ht="16.5" x14ac:dyDescent="0.25">
      <c r="A124" s="362"/>
      <c r="B124" s="336" t="s">
        <v>187</v>
      </c>
      <c r="C124" s="32">
        <v>0</v>
      </c>
      <c r="D124" s="102">
        <v>2018</v>
      </c>
      <c r="E124" s="19">
        <f t="shared" ref="E124:E132" si="9">F124+G124+H124+J124</f>
        <v>0</v>
      </c>
      <c r="F124" s="19">
        <v>0</v>
      </c>
      <c r="G124" s="19">
        <v>0</v>
      </c>
      <c r="H124" s="19">
        <v>0</v>
      </c>
      <c r="I124" s="19">
        <v>0</v>
      </c>
      <c r="J124" s="19">
        <v>0</v>
      </c>
      <c r="K124" s="388"/>
      <c r="L124" s="391"/>
    </row>
    <row r="125" spans="1:12" ht="16.5" x14ac:dyDescent="0.25">
      <c r="A125" s="362"/>
      <c r="B125" s="336"/>
      <c r="C125" s="32">
        <v>0</v>
      </c>
      <c r="D125" s="4">
        <v>2019</v>
      </c>
      <c r="E125" s="19">
        <f t="shared" si="9"/>
        <v>0</v>
      </c>
      <c r="F125" s="19">
        <v>0</v>
      </c>
      <c r="G125" s="19">
        <v>0</v>
      </c>
      <c r="H125" s="19">
        <v>0</v>
      </c>
      <c r="I125" s="19">
        <v>0</v>
      </c>
      <c r="J125" s="19">
        <v>0</v>
      </c>
      <c r="K125" s="388"/>
      <c r="L125" s="391"/>
    </row>
    <row r="126" spans="1:12" ht="16.5" x14ac:dyDescent="0.25">
      <c r="A126" s="362"/>
      <c r="B126" s="336"/>
      <c r="C126" s="32">
        <v>0</v>
      </c>
      <c r="D126" s="214">
        <v>2020</v>
      </c>
      <c r="E126" s="19">
        <f t="shared" si="9"/>
        <v>0</v>
      </c>
      <c r="F126" s="23">
        <v>0</v>
      </c>
      <c r="G126" s="19">
        <v>0</v>
      </c>
      <c r="H126" s="19">
        <v>0</v>
      </c>
      <c r="I126" s="19">
        <v>0</v>
      </c>
      <c r="J126" s="19">
        <v>0</v>
      </c>
      <c r="K126" s="388"/>
      <c r="L126" s="391"/>
    </row>
    <row r="127" spans="1:12" ht="16.5" x14ac:dyDescent="0.25">
      <c r="A127" s="362"/>
      <c r="B127" s="336"/>
      <c r="C127" s="33">
        <v>0</v>
      </c>
      <c r="D127" s="214">
        <v>2021</v>
      </c>
      <c r="E127" s="19">
        <f t="shared" si="9"/>
        <v>0</v>
      </c>
      <c r="F127" s="23">
        <v>0</v>
      </c>
      <c r="G127" s="19">
        <v>0</v>
      </c>
      <c r="H127" s="19">
        <v>0</v>
      </c>
      <c r="I127" s="19">
        <v>0</v>
      </c>
      <c r="J127" s="19">
        <v>0</v>
      </c>
      <c r="K127" s="388"/>
      <c r="L127" s="391"/>
    </row>
    <row r="128" spans="1:12" ht="16.5" x14ac:dyDescent="0.25">
      <c r="A128" s="362"/>
      <c r="B128" s="336"/>
      <c r="C128" s="33">
        <v>0</v>
      </c>
      <c r="D128" s="214">
        <v>2022</v>
      </c>
      <c r="E128" s="19">
        <f t="shared" si="9"/>
        <v>48.5</v>
      </c>
      <c r="F128" s="23">
        <v>0</v>
      </c>
      <c r="G128" s="19">
        <v>0</v>
      </c>
      <c r="H128" s="19">
        <v>48.5</v>
      </c>
      <c r="I128" s="19">
        <v>0</v>
      </c>
      <c r="J128" s="19">
        <v>0</v>
      </c>
      <c r="K128" s="388"/>
      <c r="L128" s="391"/>
    </row>
    <row r="129" spans="1:12" ht="16.5" x14ac:dyDescent="0.25">
      <c r="A129" s="362"/>
      <c r="B129" s="336"/>
      <c r="C129" s="33">
        <v>0</v>
      </c>
      <c r="D129" s="214">
        <v>2023</v>
      </c>
      <c r="E129" s="19">
        <f t="shared" si="9"/>
        <v>113.4</v>
      </c>
      <c r="F129" s="23">
        <v>0</v>
      </c>
      <c r="G129" s="19">
        <v>0</v>
      </c>
      <c r="H129" s="19">
        <v>113.4</v>
      </c>
      <c r="I129" s="19">
        <v>0</v>
      </c>
      <c r="J129" s="19">
        <v>0</v>
      </c>
      <c r="K129" s="388"/>
      <c r="L129" s="391"/>
    </row>
    <row r="130" spans="1:12" ht="16.5" x14ac:dyDescent="0.25">
      <c r="A130" s="362"/>
      <c r="B130" s="336"/>
      <c r="C130" s="33">
        <v>0</v>
      </c>
      <c r="D130" s="214">
        <v>2024</v>
      </c>
      <c r="E130" s="19">
        <f t="shared" si="9"/>
        <v>91.1</v>
      </c>
      <c r="F130" s="23">
        <v>0</v>
      </c>
      <c r="G130" s="19">
        <v>0</v>
      </c>
      <c r="H130" s="178">
        <v>91.1</v>
      </c>
      <c r="I130" s="19">
        <v>0</v>
      </c>
      <c r="J130" s="19">
        <v>0</v>
      </c>
      <c r="K130" s="388"/>
      <c r="L130" s="391"/>
    </row>
    <row r="131" spans="1:12" ht="16.5" x14ac:dyDescent="0.25">
      <c r="A131" s="362"/>
      <c r="B131" s="336"/>
      <c r="C131" s="33">
        <v>0</v>
      </c>
      <c r="D131" s="214">
        <v>2025</v>
      </c>
      <c r="E131" s="19">
        <f t="shared" si="9"/>
        <v>91.1</v>
      </c>
      <c r="F131" s="23">
        <v>0</v>
      </c>
      <c r="G131" s="19">
        <v>0</v>
      </c>
      <c r="H131" s="138">
        <v>91.1</v>
      </c>
      <c r="I131" s="19">
        <v>0</v>
      </c>
      <c r="J131" s="19">
        <v>0</v>
      </c>
      <c r="K131" s="388"/>
      <c r="L131" s="391"/>
    </row>
    <row r="132" spans="1:12" ht="16.5" x14ac:dyDescent="0.25">
      <c r="A132" s="362"/>
      <c r="B132" s="336"/>
      <c r="C132" s="33"/>
      <c r="D132" s="103">
        <v>2026</v>
      </c>
      <c r="E132" s="19">
        <f t="shared" si="9"/>
        <v>91.1</v>
      </c>
      <c r="F132" s="23">
        <v>0</v>
      </c>
      <c r="G132" s="19">
        <v>0</v>
      </c>
      <c r="H132" s="138">
        <v>91.1</v>
      </c>
      <c r="I132" s="19">
        <v>0</v>
      </c>
      <c r="J132" s="19">
        <v>0</v>
      </c>
      <c r="K132" s="388"/>
      <c r="L132" s="391"/>
    </row>
    <row r="133" spans="1:12" ht="16.5" x14ac:dyDescent="0.25">
      <c r="A133" s="362"/>
      <c r="B133" s="336" t="s">
        <v>55</v>
      </c>
      <c r="C133" s="32">
        <v>0</v>
      </c>
      <c r="D133" s="4">
        <v>2018</v>
      </c>
      <c r="E133" s="19">
        <f t="shared" si="6"/>
        <v>57977.1</v>
      </c>
      <c r="F133" s="19">
        <v>0</v>
      </c>
      <c r="G133" s="19">
        <v>0</v>
      </c>
      <c r="H133" s="19">
        <v>0</v>
      </c>
      <c r="I133" s="19">
        <v>0</v>
      </c>
      <c r="J133" s="19">
        <v>57977.1</v>
      </c>
      <c r="K133" s="388"/>
      <c r="L133" s="391"/>
    </row>
    <row r="134" spans="1:12" ht="16.5" x14ac:dyDescent="0.25">
      <c r="A134" s="362"/>
      <c r="B134" s="336"/>
      <c r="C134" s="32">
        <v>0</v>
      </c>
      <c r="D134" s="4">
        <v>2019</v>
      </c>
      <c r="E134" s="19">
        <f t="shared" si="6"/>
        <v>59231.3</v>
      </c>
      <c r="F134" s="19">
        <v>0</v>
      </c>
      <c r="G134" s="19">
        <v>0</v>
      </c>
      <c r="H134" s="19">
        <v>0</v>
      </c>
      <c r="I134" s="19">
        <v>0</v>
      </c>
      <c r="J134" s="19">
        <v>59231.3</v>
      </c>
      <c r="K134" s="388"/>
      <c r="L134" s="391"/>
    </row>
    <row r="135" spans="1:12" ht="16.5" x14ac:dyDescent="0.25">
      <c r="A135" s="362"/>
      <c r="B135" s="336"/>
      <c r="C135" s="32">
        <v>0</v>
      </c>
      <c r="D135" s="214">
        <v>2020</v>
      </c>
      <c r="E135" s="19">
        <f t="shared" si="6"/>
        <v>70551.899999999994</v>
      </c>
      <c r="F135" s="23">
        <v>0</v>
      </c>
      <c r="G135" s="19">
        <v>0</v>
      </c>
      <c r="H135" s="19">
        <v>0</v>
      </c>
      <c r="I135" s="19">
        <v>0</v>
      </c>
      <c r="J135" s="19">
        <v>70551.899999999994</v>
      </c>
      <c r="K135" s="388"/>
      <c r="L135" s="391"/>
    </row>
    <row r="136" spans="1:12" ht="16.5" x14ac:dyDescent="0.25">
      <c r="A136" s="362"/>
      <c r="B136" s="336"/>
      <c r="C136" s="33">
        <v>0</v>
      </c>
      <c r="D136" s="214">
        <v>2021</v>
      </c>
      <c r="E136" s="19">
        <f t="shared" si="6"/>
        <v>69547.399999999994</v>
      </c>
      <c r="F136" s="23">
        <v>0</v>
      </c>
      <c r="G136" s="19">
        <v>0</v>
      </c>
      <c r="H136" s="19">
        <v>0</v>
      </c>
      <c r="I136" s="19">
        <v>0</v>
      </c>
      <c r="J136" s="19">
        <v>69547.399999999994</v>
      </c>
      <c r="K136" s="388"/>
      <c r="L136" s="391"/>
    </row>
    <row r="137" spans="1:12" ht="16.5" x14ac:dyDescent="0.25">
      <c r="A137" s="362"/>
      <c r="B137" s="336"/>
      <c r="C137" s="33">
        <v>0</v>
      </c>
      <c r="D137" s="214">
        <v>2022</v>
      </c>
      <c r="E137" s="19">
        <f t="shared" si="6"/>
        <v>83610.2</v>
      </c>
      <c r="F137" s="23">
        <v>0</v>
      </c>
      <c r="G137" s="19">
        <v>0</v>
      </c>
      <c r="H137" s="19">
        <v>0</v>
      </c>
      <c r="I137" s="19">
        <v>0</v>
      </c>
      <c r="J137" s="19">
        <f>108133.9-6423.7-18100</f>
        <v>83610.2</v>
      </c>
      <c r="K137" s="388"/>
      <c r="L137" s="391"/>
    </row>
    <row r="138" spans="1:12" ht="16.5" x14ac:dyDescent="0.25">
      <c r="A138" s="362"/>
      <c r="B138" s="336"/>
      <c r="C138" s="33">
        <v>0</v>
      </c>
      <c r="D138" s="214">
        <v>2023</v>
      </c>
      <c r="E138" s="19">
        <f t="shared" si="6"/>
        <v>83561.600000000006</v>
      </c>
      <c r="F138" s="23">
        <v>0</v>
      </c>
      <c r="G138" s="19">
        <v>0</v>
      </c>
      <c r="H138" s="19">
        <v>0</v>
      </c>
      <c r="I138" s="19">
        <v>0</v>
      </c>
      <c r="J138" s="19">
        <f>93314.1-9752.5</f>
        <v>83561.600000000006</v>
      </c>
      <c r="K138" s="388"/>
      <c r="L138" s="391"/>
    </row>
    <row r="139" spans="1:12" ht="16.5" x14ac:dyDescent="0.25">
      <c r="A139" s="362"/>
      <c r="B139" s="336"/>
      <c r="C139" s="33">
        <v>0</v>
      </c>
      <c r="D139" s="214">
        <v>2024</v>
      </c>
      <c r="E139" s="19">
        <f t="shared" si="6"/>
        <v>83561.600000000006</v>
      </c>
      <c r="F139" s="23">
        <v>0</v>
      </c>
      <c r="G139" s="19">
        <v>0</v>
      </c>
      <c r="H139" s="19">
        <v>0</v>
      </c>
      <c r="I139" s="19">
        <v>0</v>
      </c>
      <c r="J139" s="19">
        <v>83561.600000000006</v>
      </c>
      <c r="K139" s="388"/>
      <c r="L139" s="391"/>
    </row>
    <row r="140" spans="1:12" ht="16.5" x14ac:dyDescent="0.25">
      <c r="A140" s="362"/>
      <c r="B140" s="336"/>
      <c r="C140" s="33">
        <v>0</v>
      </c>
      <c r="D140" s="214">
        <v>2025</v>
      </c>
      <c r="E140" s="19">
        <f t="shared" si="6"/>
        <v>83561.600000000006</v>
      </c>
      <c r="F140" s="23">
        <v>0</v>
      </c>
      <c r="G140" s="19">
        <v>0</v>
      </c>
      <c r="H140" s="19">
        <v>0</v>
      </c>
      <c r="I140" s="19">
        <v>0</v>
      </c>
      <c r="J140" s="19">
        <v>83561.600000000006</v>
      </c>
      <c r="K140" s="388"/>
      <c r="L140" s="391"/>
    </row>
    <row r="141" spans="1:12" ht="17.25" thickBot="1" x14ac:dyDescent="0.3">
      <c r="A141" s="363"/>
      <c r="B141" s="337"/>
      <c r="C141" s="34"/>
      <c r="D141" s="118">
        <v>2026</v>
      </c>
      <c r="E141" s="22">
        <f t="shared" si="6"/>
        <v>83561.600000000006</v>
      </c>
      <c r="F141" s="24">
        <v>0</v>
      </c>
      <c r="G141" s="22">
        <v>0</v>
      </c>
      <c r="H141" s="22">
        <v>0</v>
      </c>
      <c r="I141" s="22">
        <v>0</v>
      </c>
      <c r="J141" s="22">
        <v>83561.600000000006</v>
      </c>
      <c r="K141" s="389"/>
      <c r="L141" s="392"/>
    </row>
    <row r="142" spans="1:12" ht="16.5" x14ac:dyDescent="0.25">
      <c r="A142" s="342" t="s">
        <v>57</v>
      </c>
      <c r="B142" s="338" t="s">
        <v>58</v>
      </c>
      <c r="C142" s="31">
        <v>0</v>
      </c>
      <c r="D142" s="5">
        <v>2018</v>
      </c>
      <c r="E142" s="21">
        <f t="shared" si="6"/>
        <v>672006.2</v>
      </c>
      <c r="F142" s="21">
        <v>0</v>
      </c>
      <c r="G142" s="21">
        <f>G151</f>
        <v>542844.5</v>
      </c>
      <c r="H142" s="21">
        <f t="shared" ref="H142:H149" si="10">H151+H169+H179+H188+H197+H206</f>
        <v>129161.70000000001</v>
      </c>
      <c r="I142" s="21">
        <v>0</v>
      </c>
      <c r="J142" s="21">
        <v>0</v>
      </c>
      <c r="K142" s="267" t="s">
        <v>198</v>
      </c>
      <c r="L142" s="260" t="s">
        <v>38</v>
      </c>
    </row>
    <row r="143" spans="1:12" ht="16.5" x14ac:dyDescent="0.25">
      <c r="A143" s="343"/>
      <c r="B143" s="336"/>
      <c r="C143" s="32">
        <v>0</v>
      </c>
      <c r="D143" s="4">
        <v>2019</v>
      </c>
      <c r="E143" s="19">
        <f t="shared" si="6"/>
        <v>726214.6</v>
      </c>
      <c r="F143" s="19">
        <v>0</v>
      </c>
      <c r="G143" s="19">
        <f t="shared" ref="G143:G146" si="11">G152</f>
        <v>579302.19999999995</v>
      </c>
      <c r="H143" s="19">
        <f t="shared" si="10"/>
        <v>146912.40000000002</v>
      </c>
      <c r="I143" s="19">
        <v>0</v>
      </c>
      <c r="J143" s="19">
        <v>0</v>
      </c>
      <c r="K143" s="268"/>
      <c r="L143" s="261"/>
    </row>
    <row r="144" spans="1:12" ht="16.5" x14ac:dyDescent="0.25">
      <c r="A144" s="343"/>
      <c r="B144" s="336"/>
      <c r="C144" s="32">
        <v>0</v>
      </c>
      <c r="D144" s="214">
        <v>2020</v>
      </c>
      <c r="E144" s="19">
        <f t="shared" si="6"/>
        <v>761500.89999999991</v>
      </c>
      <c r="F144" s="23">
        <v>0</v>
      </c>
      <c r="G144" s="19">
        <f t="shared" si="11"/>
        <v>611447.6</v>
      </c>
      <c r="H144" s="19">
        <f t="shared" si="10"/>
        <v>150053.29999999999</v>
      </c>
      <c r="I144" s="19">
        <v>0</v>
      </c>
      <c r="J144" s="19">
        <v>0</v>
      </c>
      <c r="K144" s="268"/>
      <c r="L144" s="261"/>
    </row>
    <row r="145" spans="1:12" ht="16.5" x14ac:dyDescent="0.25">
      <c r="A145" s="343"/>
      <c r="B145" s="336"/>
      <c r="C145" s="33">
        <v>0</v>
      </c>
      <c r="D145" s="214">
        <v>2021</v>
      </c>
      <c r="E145" s="19">
        <f t="shared" si="6"/>
        <v>812507.1</v>
      </c>
      <c r="F145" s="23">
        <v>0</v>
      </c>
      <c r="G145" s="19">
        <f t="shared" si="11"/>
        <v>616452.1</v>
      </c>
      <c r="H145" s="19">
        <f t="shared" si="10"/>
        <v>196055</v>
      </c>
      <c r="I145" s="19">
        <v>0</v>
      </c>
      <c r="J145" s="19">
        <v>0</v>
      </c>
      <c r="K145" s="268"/>
      <c r="L145" s="261"/>
    </row>
    <row r="146" spans="1:12" ht="16.5" x14ac:dyDescent="0.25">
      <c r="A146" s="343"/>
      <c r="B146" s="336"/>
      <c r="C146" s="33">
        <v>0</v>
      </c>
      <c r="D146" s="214">
        <v>2022</v>
      </c>
      <c r="E146" s="19">
        <f t="shared" si="6"/>
        <v>856518.10000000009</v>
      </c>
      <c r="F146" s="23">
        <v>0</v>
      </c>
      <c r="G146" s="19">
        <f t="shared" si="11"/>
        <v>655177.30000000005</v>
      </c>
      <c r="H146" s="19">
        <f t="shared" si="10"/>
        <v>201340.80000000002</v>
      </c>
      <c r="I146" s="19">
        <v>0</v>
      </c>
      <c r="J146" s="19">
        <v>0</v>
      </c>
      <c r="K146" s="268"/>
      <c r="L146" s="261"/>
    </row>
    <row r="147" spans="1:12" ht="16.5" x14ac:dyDescent="0.25">
      <c r="A147" s="343"/>
      <c r="B147" s="336"/>
      <c r="C147" s="33">
        <v>0</v>
      </c>
      <c r="D147" s="214">
        <v>2023</v>
      </c>
      <c r="E147" s="19">
        <f t="shared" si="6"/>
        <v>991757.89999999991</v>
      </c>
      <c r="F147" s="23">
        <v>0</v>
      </c>
      <c r="G147" s="19">
        <f>G156+G165</f>
        <v>756043.39999999991</v>
      </c>
      <c r="H147" s="19">
        <f t="shared" si="10"/>
        <v>235714.49999999997</v>
      </c>
      <c r="I147" s="19">
        <v>0</v>
      </c>
      <c r="J147" s="19">
        <v>0</v>
      </c>
      <c r="K147" s="268"/>
      <c r="L147" s="261"/>
    </row>
    <row r="148" spans="1:12" ht="16.5" x14ac:dyDescent="0.25">
      <c r="A148" s="343"/>
      <c r="B148" s="336"/>
      <c r="C148" s="33">
        <v>0</v>
      </c>
      <c r="D148" s="214">
        <v>2024</v>
      </c>
      <c r="E148" s="19">
        <f t="shared" si="6"/>
        <v>1058058.6000000001</v>
      </c>
      <c r="F148" s="23">
        <v>0</v>
      </c>
      <c r="G148" s="19">
        <f>G157+G166</f>
        <v>811148.20000000019</v>
      </c>
      <c r="H148" s="19">
        <f t="shared" si="10"/>
        <v>246910.4</v>
      </c>
      <c r="I148" s="19">
        <v>0</v>
      </c>
      <c r="J148" s="19">
        <v>0</v>
      </c>
      <c r="K148" s="268"/>
      <c r="L148" s="261"/>
    </row>
    <row r="149" spans="1:12" ht="16.5" x14ac:dyDescent="0.25">
      <c r="A149" s="343"/>
      <c r="B149" s="336"/>
      <c r="C149" s="33">
        <v>0</v>
      </c>
      <c r="D149" s="214">
        <v>2025</v>
      </c>
      <c r="E149" s="19">
        <f t="shared" si="6"/>
        <v>1064144.6000000001</v>
      </c>
      <c r="F149" s="23">
        <v>0</v>
      </c>
      <c r="G149" s="19">
        <f>G158+G167</f>
        <v>826984.60000000009</v>
      </c>
      <c r="H149" s="19">
        <f t="shared" si="10"/>
        <v>237160.00000000003</v>
      </c>
      <c r="I149" s="19">
        <v>0</v>
      </c>
      <c r="J149" s="19">
        <v>0</v>
      </c>
      <c r="K149" s="268"/>
      <c r="L149" s="261"/>
    </row>
    <row r="150" spans="1:12" ht="16.5" x14ac:dyDescent="0.25">
      <c r="A150" s="343"/>
      <c r="B150" s="336"/>
      <c r="C150" s="33"/>
      <c r="D150" s="103">
        <v>2026</v>
      </c>
      <c r="E150" s="19">
        <f t="shared" si="6"/>
        <v>1110829.5999999999</v>
      </c>
      <c r="F150" s="23">
        <v>0</v>
      </c>
      <c r="G150" s="19">
        <f>G159+G168</f>
        <v>873669.59999999986</v>
      </c>
      <c r="H150" s="19">
        <f>H159+H177+H187+H196+H205+H214</f>
        <v>237160.00000000003</v>
      </c>
      <c r="I150" s="19">
        <v>0</v>
      </c>
      <c r="J150" s="19">
        <v>0</v>
      </c>
      <c r="K150" s="268"/>
      <c r="L150" s="261"/>
    </row>
    <row r="151" spans="1:12" ht="16.5" x14ac:dyDescent="0.25">
      <c r="A151" s="343"/>
      <c r="B151" s="336" t="s">
        <v>59</v>
      </c>
      <c r="C151" s="32">
        <v>0</v>
      </c>
      <c r="D151" s="4">
        <v>2018</v>
      </c>
      <c r="E151" s="19">
        <f t="shared" si="6"/>
        <v>660511.30000000005</v>
      </c>
      <c r="F151" s="19">
        <v>0</v>
      </c>
      <c r="G151" s="19">
        <v>542844.5</v>
      </c>
      <c r="H151" s="19">
        <v>117666.8</v>
      </c>
      <c r="I151" s="19">
        <v>0</v>
      </c>
      <c r="J151" s="19">
        <v>0</v>
      </c>
      <c r="K151" s="268"/>
      <c r="L151" s="261"/>
    </row>
    <row r="152" spans="1:12" ht="16.5" x14ac:dyDescent="0.25">
      <c r="A152" s="343"/>
      <c r="B152" s="336"/>
      <c r="C152" s="32">
        <v>0</v>
      </c>
      <c r="D152" s="4">
        <v>2019</v>
      </c>
      <c r="E152" s="19">
        <f t="shared" si="6"/>
        <v>704263.2</v>
      </c>
      <c r="F152" s="19">
        <v>0</v>
      </c>
      <c r="G152" s="19">
        <v>579302.19999999995</v>
      </c>
      <c r="H152" s="19">
        <v>124961</v>
      </c>
      <c r="I152" s="19">
        <v>0</v>
      </c>
      <c r="J152" s="19">
        <v>0</v>
      </c>
      <c r="K152" s="268"/>
      <c r="L152" s="261"/>
    </row>
    <row r="153" spans="1:12" ht="16.5" x14ac:dyDescent="0.25">
      <c r="A153" s="343"/>
      <c r="B153" s="336"/>
      <c r="C153" s="32">
        <v>0</v>
      </c>
      <c r="D153" s="214">
        <v>2020</v>
      </c>
      <c r="E153" s="19">
        <f t="shared" si="6"/>
        <v>746389</v>
      </c>
      <c r="F153" s="23">
        <v>0</v>
      </c>
      <c r="G153" s="19">
        <v>611447.6</v>
      </c>
      <c r="H153" s="19">
        <v>134941.4</v>
      </c>
      <c r="I153" s="19">
        <v>0</v>
      </c>
      <c r="J153" s="19">
        <v>0</v>
      </c>
      <c r="K153" s="268"/>
      <c r="L153" s="261"/>
    </row>
    <row r="154" spans="1:12" ht="16.5" x14ac:dyDescent="0.25">
      <c r="A154" s="343"/>
      <c r="B154" s="336"/>
      <c r="C154" s="33">
        <v>0</v>
      </c>
      <c r="D154" s="214">
        <v>2021</v>
      </c>
      <c r="E154" s="19">
        <f t="shared" si="6"/>
        <v>788161.1</v>
      </c>
      <c r="F154" s="23">
        <v>0</v>
      </c>
      <c r="G154" s="19">
        <v>616452.1</v>
      </c>
      <c r="H154" s="19">
        <v>171709</v>
      </c>
      <c r="I154" s="19">
        <v>0</v>
      </c>
      <c r="J154" s="19">
        <v>0</v>
      </c>
      <c r="K154" s="268"/>
      <c r="L154" s="261"/>
    </row>
    <row r="155" spans="1:12" ht="16.5" x14ac:dyDescent="0.25">
      <c r="A155" s="343"/>
      <c r="B155" s="336"/>
      <c r="C155" s="33">
        <v>0</v>
      </c>
      <c r="D155" s="214">
        <v>2022</v>
      </c>
      <c r="E155" s="19">
        <f t="shared" si="6"/>
        <v>844913.3</v>
      </c>
      <c r="F155" s="23">
        <v>0</v>
      </c>
      <c r="G155" s="19">
        <f>618230.9+30755+6191.4</f>
        <v>655177.30000000005</v>
      </c>
      <c r="H155" s="19">
        <f>181469.6+167+1957.7+2531.9+3609.8</f>
        <v>189736</v>
      </c>
      <c r="I155" s="19">
        <v>0</v>
      </c>
      <c r="J155" s="19">
        <v>0</v>
      </c>
      <c r="K155" s="268"/>
      <c r="L155" s="261"/>
    </row>
    <row r="156" spans="1:12" ht="16.5" x14ac:dyDescent="0.25">
      <c r="A156" s="343"/>
      <c r="B156" s="336"/>
      <c r="C156" s="33">
        <v>0</v>
      </c>
      <c r="D156" s="214">
        <v>2023</v>
      </c>
      <c r="E156" s="19">
        <f t="shared" si="6"/>
        <v>879267.5</v>
      </c>
      <c r="F156" s="23">
        <v>0</v>
      </c>
      <c r="G156" s="19">
        <f>629345.1+17325.4+1431.7+1337+11148</f>
        <v>660587.19999999995</v>
      </c>
      <c r="H156" s="19">
        <f>208259.8+2449.1+565.4+401.5+1498.9+5236.2+250+292-470.6+198</f>
        <v>218680.3</v>
      </c>
      <c r="I156" s="19">
        <v>0</v>
      </c>
      <c r="J156" s="19">
        <v>0</v>
      </c>
      <c r="K156" s="268"/>
      <c r="L156" s="261"/>
    </row>
    <row r="157" spans="1:12" ht="16.5" x14ac:dyDescent="0.25">
      <c r="A157" s="343"/>
      <c r="B157" s="336"/>
      <c r="C157" s="33">
        <v>0</v>
      </c>
      <c r="D157" s="214">
        <v>2024</v>
      </c>
      <c r="E157" s="19">
        <f>F157+G157+H157+J157</f>
        <v>887757.50000000012</v>
      </c>
      <c r="F157" s="23">
        <v>0</v>
      </c>
      <c r="G157" s="138">
        <f>817152.3-G166-2693.1-3311</f>
        <v>658378.00000000012</v>
      </c>
      <c r="H157" s="178">
        <v>229379.5</v>
      </c>
      <c r="I157" s="19">
        <v>0</v>
      </c>
      <c r="J157" s="19">
        <v>0</v>
      </c>
      <c r="K157" s="268"/>
      <c r="L157" s="261"/>
    </row>
    <row r="158" spans="1:12" ht="16.5" x14ac:dyDescent="0.25">
      <c r="A158" s="343"/>
      <c r="B158" s="336"/>
      <c r="C158" s="33">
        <v>0</v>
      </c>
      <c r="D158" s="214">
        <v>2025</v>
      </c>
      <c r="E158" s="19">
        <f t="shared" si="6"/>
        <v>899684.60000000009</v>
      </c>
      <c r="F158" s="23">
        <v>0</v>
      </c>
      <c r="G158" s="138">
        <f>833424.8-G167-6440.2</f>
        <v>674214.40000000014</v>
      </c>
      <c r="H158" s="138">
        <v>225470.2</v>
      </c>
      <c r="I158" s="19">
        <v>0</v>
      </c>
      <c r="J158" s="19">
        <v>0</v>
      </c>
      <c r="K158" s="268"/>
      <c r="L158" s="261"/>
    </row>
    <row r="159" spans="1:12" ht="16.5" x14ac:dyDescent="0.25">
      <c r="A159" s="343"/>
      <c r="B159" s="336"/>
      <c r="C159" s="33"/>
      <c r="D159" s="103">
        <v>2026</v>
      </c>
      <c r="E159" s="19">
        <f t="shared" si="6"/>
        <v>946369.59999999986</v>
      </c>
      <c r="F159" s="23">
        <v>0</v>
      </c>
      <c r="G159" s="138">
        <f>881482.9-G168-7813.3</f>
        <v>720899.39999999991</v>
      </c>
      <c r="H159" s="138">
        <v>225470.2</v>
      </c>
      <c r="I159" s="19">
        <v>0</v>
      </c>
      <c r="J159" s="19">
        <v>0</v>
      </c>
      <c r="K159" s="268"/>
      <c r="L159" s="261"/>
    </row>
    <row r="160" spans="1:12" ht="16.5" x14ac:dyDescent="0.25">
      <c r="A160" s="343"/>
      <c r="B160" s="336" t="s">
        <v>209</v>
      </c>
      <c r="C160" s="32">
        <v>0</v>
      </c>
      <c r="D160" s="4">
        <v>2018</v>
      </c>
      <c r="E160" s="19">
        <f t="shared" ref="E160:E168" si="12">F160+G160+H160+J160</f>
        <v>0</v>
      </c>
      <c r="F160" s="19">
        <v>0</v>
      </c>
      <c r="G160" s="19">
        <v>0</v>
      </c>
      <c r="H160" s="19">
        <v>0</v>
      </c>
      <c r="I160" s="19">
        <v>0</v>
      </c>
      <c r="J160" s="19">
        <v>0</v>
      </c>
      <c r="K160" s="268"/>
      <c r="L160" s="261"/>
    </row>
    <row r="161" spans="1:12" ht="16.5" x14ac:dyDescent="0.25">
      <c r="A161" s="343"/>
      <c r="B161" s="336"/>
      <c r="C161" s="32">
        <v>0</v>
      </c>
      <c r="D161" s="4">
        <v>2019</v>
      </c>
      <c r="E161" s="19">
        <f t="shared" si="12"/>
        <v>0</v>
      </c>
      <c r="F161" s="19">
        <v>0</v>
      </c>
      <c r="G161" s="19">
        <v>0</v>
      </c>
      <c r="H161" s="19">
        <v>0</v>
      </c>
      <c r="I161" s="19">
        <v>0</v>
      </c>
      <c r="J161" s="19">
        <v>0</v>
      </c>
      <c r="K161" s="268"/>
      <c r="L161" s="261"/>
    </row>
    <row r="162" spans="1:12" ht="16.5" x14ac:dyDescent="0.25">
      <c r="A162" s="343"/>
      <c r="B162" s="336"/>
      <c r="C162" s="32">
        <v>0</v>
      </c>
      <c r="D162" s="214">
        <v>2020</v>
      </c>
      <c r="E162" s="19">
        <f t="shared" si="12"/>
        <v>0</v>
      </c>
      <c r="F162" s="23">
        <v>0</v>
      </c>
      <c r="G162" s="19">
        <v>0</v>
      </c>
      <c r="H162" s="19">
        <v>0</v>
      </c>
      <c r="I162" s="19">
        <v>0</v>
      </c>
      <c r="J162" s="19">
        <v>0</v>
      </c>
      <c r="K162" s="268"/>
      <c r="L162" s="261"/>
    </row>
    <row r="163" spans="1:12" ht="16.5" x14ac:dyDescent="0.25">
      <c r="A163" s="343"/>
      <c r="B163" s="336"/>
      <c r="C163" s="33">
        <v>0</v>
      </c>
      <c r="D163" s="214">
        <v>2021</v>
      </c>
      <c r="E163" s="19">
        <f t="shared" si="12"/>
        <v>0</v>
      </c>
      <c r="F163" s="23">
        <v>0</v>
      </c>
      <c r="G163" s="19">
        <v>0</v>
      </c>
      <c r="H163" s="19">
        <v>0</v>
      </c>
      <c r="I163" s="19">
        <v>0</v>
      </c>
      <c r="J163" s="19">
        <v>0</v>
      </c>
      <c r="K163" s="268"/>
      <c r="L163" s="261"/>
    </row>
    <row r="164" spans="1:12" ht="16.5" x14ac:dyDescent="0.25">
      <c r="A164" s="343"/>
      <c r="B164" s="336"/>
      <c r="C164" s="33">
        <v>0</v>
      </c>
      <c r="D164" s="214">
        <v>2022</v>
      </c>
      <c r="E164" s="19">
        <f t="shared" si="12"/>
        <v>0</v>
      </c>
      <c r="F164" s="23">
        <v>0</v>
      </c>
      <c r="G164" s="19">
        <v>0</v>
      </c>
      <c r="H164" s="19">
        <v>0</v>
      </c>
      <c r="I164" s="19">
        <v>0</v>
      </c>
      <c r="J164" s="19">
        <v>0</v>
      </c>
      <c r="K164" s="268"/>
      <c r="L164" s="261"/>
    </row>
    <row r="165" spans="1:12" ht="16.5" x14ac:dyDescent="0.25">
      <c r="A165" s="343"/>
      <c r="B165" s="336"/>
      <c r="C165" s="33">
        <v>0</v>
      </c>
      <c r="D165" s="214">
        <v>2023</v>
      </c>
      <c r="E165" s="19">
        <f t="shared" si="12"/>
        <v>95456.2</v>
      </c>
      <c r="F165" s="23">
        <v>0</v>
      </c>
      <c r="G165" s="19">
        <f>92267.8+4490-1301.6</f>
        <v>95456.2</v>
      </c>
      <c r="H165" s="19">
        <v>0</v>
      </c>
      <c r="I165" s="19">
        <v>0</v>
      </c>
      <c r="J165" s="19">
        <v>0</v>
      </c>
      <c r="K165" s="268"/>
      <c r="L165" s="261"/>
    </row>
    <row r="166" spans="1:12" ht="16.5" x14ac:dyDescent="0.25">
      <c r="A166" s="343"/>
      <c r="B166" s="336"/>
      <c r="C166" s="33">
        <v>0</v>
      </c>
      <c r="D166" s="214">
        <v>2024</v>
      </c>
      <c r="E166" s="19">
        <f t="shared" si="12"/>
        <v>152770.20000000001</v>
      </c>
      <c r="F166" s="23">
        <v>0</v>
      </c>
      <c r="G166" s="19">
        <f>92062.1+60708.1</f>
        <v>152770.20000000001</v>
      </c>
      <c r="H166" s="19">
        <v>0</v>
      </c>
      <c r="I166" s="19">
        <v>0</v>
      </c>
      <c r="J166" s="19">
        <v>0</v>
      </c>
      <c r="K166" s="268"/>
      <c r="L166" s="261"/>
    </row>
    <row r="167" spans="1:12" ht="16.5" x14ac:dyDescent="0.25">
      <c r="A167" s="343"/>
      <c r="B167" s="336"/>
      <c r="C167" s="33">
        <v>0</v>
      </c>
      <c r="D167" s="214">
        <v>2025</v>
      </c>
      <c r="E167" s="19">
        <f t="shared" si="12"/>
        <v>152770.20000000001</v>
      </c>
      <c r="F167" s="23">
        <v>0</v>
      </c>
      <c r="G167" s="19">
        <f>92062.1+60708.1</f>
        <v>152770.20000000001</v>
      </c>
      <c r="H167" s="19">
        <v>0</v>
      </c>
      <c r="I167" s="19">
        <v>0</v>
      </c>
      <c r="J167" s="19">
        <v>0</v>
      </c>
      <c r="K167" s="268"/>
      <c r="L167" s="261"/>
    </row>
    <row r="168" spans="1:12" ht="16.5" x14ac:dyDescent="0.25">
      <c r="A168" s="343"/>
      <c r="B168" s="336"/>
      <c r="C168" s="33"/>
      <c r="D168" s="103">
        <v>2026</v>
      </c>
      <c r="E168" s="19">
        <f t="shared" si="12"/>
        <v>152770.20000000001</v>
      </c>
      <c r="F168" s="23">
        <v>0</v>
      </c>
      <c r="G168" s="19">
        <f>92062.1+60708.1</f>
        <v>152770.20000000001</v>
      </c>
      <c r="H168" s="19">
        <v>0</v>
      </c>
      <c r="I168" s="19">
        <v>0</v>
      </c>
      <c r="J168" s="19">
        <v>0</v>
      </c>
      <c r="K168" s="268"/>
      <c r="L168" s="261"/>
    </row>
    <row r="169" spans="1:12" ht="13.5" customHeight="1" x14ac:dyDescent="0.25">
      <c r="A169" s="343"/>
      <c r="B169" s="336" t="s">
        <v>210</v>
      </c>
      <c r="C169" s="32">
        <v>0</v>
      </c>
      <c r="D169" s="4">
        <v>2018</v>
      </c>
      <c r="E169" s="19">
        <f t="shared" si="6"/>
        <v>0</v>
      </c>
      <c r="F169" s="19">
        <v>0</v>
      </c>
      <c r="G169" s="19">
        <v>0</v>
      </c>
      <c r="H169" s="19">
        <v>0</v>
      </c>
      <c r="I169" s="19">
        <v>0</v>
      </c>
      <c r="J169" s="19">
        <v>0</v>
      </c>
      <c r="K169" s="268"/>
      <c r="L169" s="261"/>
    </row>
    <row r="170" spans="1:12" ht="15" customHeight="1" x14ac:dyDescent="0.25">
      <c r="A170" s="343"/>
      <c r="B170" s="336"/>
      <c r="C170" s="32">
        <v>0</v>
      </c>
      <c r="D170" s="4">
        <v>2019</v>
      </c>
      <c r="E170" s="19">
        <f t="shared" ref="E170:E243" si="13">F170+G170+H170+J170</f>
        <v>9017.7000000000007</v>
      </c>
      <c r="F170" s="19">
        <v>0</v>
      </c>
      <c r="G170" s="19">
        <v>0</v>
      </c>
      <c r="H170" s="19">
        <v>9017.7000000000007</v>
      </c>
      <c r="I170" s="19">
        <v>0</v>
      </c>
      <c r="J170" s="19">
        <v>0</v>
      </c>
      <c r="K170" s="268"/>
      <c r="L170" s="261"/>
    </row>
    <row r="171" spans="1:12" ht="13.5" customHeight="1" x14ac:dyDescent="0.25">
      <c r="A171" s="343"/>
      <c r="B171" s="336"/>
      <c r="C171" s="32">
        <v>0</v>
      </c>
      <c r="D171" s="211">
        <v>2020</v>
      </c>
      <c r="E171" s="19">
        <f t="shared" si="13"/>
        <v>804.9</v>
      </c>
      <c r="F171" s="23">
        <v>0</v>
      </c>
      <c r="G171" s="19">
        <v>0</v>
      </c>
      <c r="H171" s="19">
        <v>804.9</v>
      </c>
      <c r="I171" s="19">
        <v>0</v>
      </c>
      <c r="J171" s="19">
        <v>0</v>
      </c>
      <c r="K171" s="268"/>
      <c r="L171" s="261"/>
    </row>
    <row r="172" spans="1:12" ht="15.75" customHeight="1" x14ac:dyDescent="0.25">
      <c r="A172" s="343"/>
      <c r="B172" s="336"/>
      <c r="C172" s="33">
        <v>0</v>
      </c>
      <c r="D172" s="211">
        <v>2021</v>
      </c>
      <c r="E172" s="19">
        <f t="shared" si="13"/>
        <v>0</v>
      </c>
      <c r="F172" s="23">
        <v>0</v>
      </c>
      <c r="G172" s="19">
        <v>0</v>
      </c>
      <c r="H172" s="19">
        <v>0</v>
      </c>
      <c r="I172" s="19">
        <v>0</v>
      </c>
      <c r="J172" s="19">
        <v>0</v>
      </c>
      <c r="K172" s="268"/>
      <c r="L172" s="261"/>
    </row>
    <row r="173" spans="1:12" ht="16.5" x14ac:dyDescent="0.25">
      <c r="A173" s="343"/>
      <c r="B173" s="336"/>
      <c r="C173" s="33">
        <v>0</v>
      </c>
      <c r="D173" s="211">
        <v>2022</v>
      </c>
      <c r="E173" s="19">
        <f t="shared" si="13"/>
        <v>0</v>
      </c>
      <c r="F173" s="23">
        <v>0</v>
      </c>
      <c r="G173" s="19">
        <v>0</v>
      </c>
      <c r="H173" s="19">
        <v>0</v>
      </c>
      <c r="I173" s="19">
        <v>0</v>
      </c>
      <c r="J173" s="19">
        <v>0</v>
      </c>
      <c r="K173" s="268"/>
      <c r="L173" s="261"/>
    </row>
    <row r="174" spans="1:12" ht="16.5" x14ac:dyDescent="0.25">
      <c r="A174" s="343"/>
      <c r="B174" s="336"/>
      <c r="C174" s="33">
        <v>0</v>
      </c>
      <c r="D174" s="211">
        <v>2023</v>
      </c>
      <c r="E174" s="19">
        <f t="shared" si="13"/>
        <v>0</v>
      </c>
      <c r="F174" s="23">
        <v>0</v>
      </c>
      <c r="G174" s="19">
        <v>0</v>
      </c>
      <c r="H174" s="19">
        <v>0</v>
      </c>
      <c r="I174" s="19">
        <v>0</v>
      </c>
      <c r="J174" s="19">
        <v>0</v>
      </c>
      <c r="K174" s="268"/>
      <c r="L174" s="261"/>
    </row>
    <row r="175" spans="1:12" ht="12" customHeight="1" x14ac:dyDescent="0.25">
      <c r="A175" s="343"/>
      <c r="B175" s="336"/>
      <c r="C175" s="33">
        <v>0</v>
      </c>
      <c r="D175" s="211">
        <v>2024</v>
      </c>
      <c r="E175" s="19">
        <f t="shared" si="13"/>
        <v>0</v>
      </c>
      <c r="F175" s="23">
        <v>0</v>
      </c>
      <c r="G175" s="19">
        <v>0</v>
      </c>
      <c r="H175" s="19">
        <v>0</v>
      </c>
      <c r="I175" s="19">
        <v>0</v>
      </c>
      <c r="J175" s="19">
        <v>0</v>
      </c>
      <c r="K175" s="268"/>
      <c r="L175" s="261"/>
    </row>
    <row r="176" spans="1:12" ht="15.75" customHeight="1" x14ac:dyDescent="0.25">
      <c r="A176" s="343"/>
      <c r="B176" s="336"/>
      <c r="C176" s="33">
        <v>0</v>
      </c>
      <c r="D176" s="211">
        <v>2025</v>
      </c>
      <c r="E176" s="19">
        <f t="shared" si="13"/>
        <v>0</v>
      </c>
      <c r="F176" s="23">
        <v>0</v>
      </c>
      <c r="G176" s="19">
        <v>0</v>
      </c>
      <c r="H176" s="19">
        <v>0</v>
      </c>
      <c r="I176" s="19">
        <v>0</v>
      </c>
      <c r="J176" s="19">
        <v>0</v>
      </c>
      <c r="K176" s="268"/>
      <c r="L176" s="261"/>
    </row>
    <row r="177" spans="1:12" ht="14.25" customHeight="1" thickBot="1" x14ac:dyDescent="0.3">
      <c r="A177" s="344"/>
      <c r="B177" s="337"/>
      <c r="C177" s="34"/>
      <c r="D177" s="143">
        <v>2026</v>
      </c>
      <c r="E177" s="22">
        <f t="shared" si="13"/>
        <v>0</v>
      </c>
      <c r="F177" s="24">
        <v>0</v>
      </c>
      <c r="G177" s="22">
        <v>0</v>
      </c>
      <c r="H177" s="22">
        <v>0</v>
      </c>
      <c r="I177" s="22">
        <v>0</v>
      </c>
      <c r="J177" s="22">
        <v>0</v>
      </c>
      <c r="K177" s="269"/>
      <c r="L177" s="262"/>
    </row>
    <row r="178" spans="1:12" ht="17.25" thickBot="1" x14ac:dyDescent="0.3">
      <c r="A178" s="133" t="s">
        <v>313</v>
      </c>
      <c r="B178" s="15">
        <v>2</v>
      </c>
      <c r="C178" s="15"/>
      <c r="D178" s="15">
        <v>3</v>
      </c>
      <c r="E178" s="15">
        <v>4</v>
      </c>
      <c r="F178" s="15">
        <v>5</v>
      </c>
      <c r="G178" s="15">
        <v>6</v>
      </c>
      <c r="H178" s="15">
        <v>7</v>
      </c>
      <c r="I178" s="15">
        <v>8</v>
      </c>
      <c r="J178" s="15">
        <v>9</v>
      </c>
      <c r="K178" s="134">
        <v>10</v>
      </c>
      <c r="L178" s="134">
        <v>11</v>
      </c>
    </row>
    <row r="179" spans="1:12" ht="16.5" x14ac:dyDescent="0.25">
      <c r="A179" s="361" t="s">
        <v>57</v>
      </c>
      <c r="B179" s="338" t="s">
        <v>204</v>
      </c>
      <c r="C179" s="31">
        <v>0</v>
      </c>
      <c r="D179" s="5">
        <v>2018</v>
      </c>
      <c r="E179" s="21">
        <f t="shared" si="13"/>
        <v>0</v>
      </c>
      <c r="F179" s="21">
        <v>0</v>
      </c>
      <c r="G179" s="21">
        <v>0</v>
      </c>
      <c r="H179" s="21">
        <v>0</v>
      </c>
      <c r="I179" s="21">
        <v>0</v>
      </c>
      <c r="J179" s="21">
        <v>0</v>
      </c>
      <c r="K179" s="267"/>
      <c r="L179" s="260"/>
    </row>
    <row r="180" spans="1:12" ht="16.5" x14ac:dyDescent="0.25">
      <c r="A180" s="362"/>
      <c r="B180" s="336"/>
      <c r="C180" s="32">
        <v>0</v>
      </c>
      <c r="D180" s="4">
        <v>2019</v>
      </c>
      <c r="E180" s="19">
        <f t="shared" si="13"/>
        <v>0</v>
      </c>
      <c r="F180" s="19">
        <v>0</v>
      </c>
      <c r="G180" s="19">
        <v>0</v>
      </c>
      <c r="H180" s="19">
        <v>0</v>
      </c>
      <c r="I180" s="19">
        <v>0</v>
      </c>
      <c r="J180" s="19">
        <v>0</v>
      </c>
      <c r="K180" s="268"/>
      <c r="L180" s="261"/>
    </row>
    <row r="181" spans="1:12" ht="16.5" x14ac:dyDescent="0.25">
      <c r="A181" s="362"/>
      <c r="B181" s="336"/>
      <c r="C181" s="32">
        <v>0</v>
      </c>
      <c r="D181" s="214">
        <v>2020</v>
      </c>
      <c r="E181" s="19">
        <f t="shared" si="13"/>
        <v>3186.3</v>
      </c>
      <c r="F181" s="23">
        <v>0</v>
      </c>
      <c r="G181" s="19">
        <v>0</v>
      </c>
      <c r="H181" s="19">
        <v>3186.3</v>
      </c>
      <c r="I181" s="19">
        <v>0</v>
      </c>
      <c r="J181" s="19">
        <v>0</v>
      </c>
      <c r="K181" s="268"/>
      <c r="L181" s="261"/>
    </row>
    <row r="182" spans="1:12" ht="16.5" x14ac:dyDescent="0.25">
      <c r="A182" s="362"/>
      <c r="B182" s="336"/>
      <c r="C182" s="33">
        <v>0</v>
      </c>
      <c r="D182" s="214">
        <v>2021</v>
      </c>
      <c r="E182" s="19">
        <f t="shared" si="13"/>
        <v>8358.6</v>
      </c>
      <c r="F182" s="23">
        <v>0</v>
      </c>
      <c r="G182" s="19">
        <v>0</v>
      </c>
      <c r="H182" s="19">
        <v>8358.6</v>
      </c>
      <c r="I182" s="19">
        <v>0</v>
      </c>
      <c r="J182" s="19">
        <v>0</v>
      </c>
      <c r="K182" s="268"/>
      <c r="L182" s="261"/>
    </row>
    <row r="183" spans="1:12" ht="16.5" x14ac:dyDescent="0.25">
      <c r="A183" s="362"/>
      <c r="B183" s="336"/>
      <c r="C183" s="33">
        <v>0</v>
      </c>
      <c r="D183" s="214">
        <v>2022</v>
      </c>
      <c r="E183" s="19">
        <f t="shared" si="13"/>
        <v>2735.7</v>
      </c>
      <c r="F183" s="23">
        <v>0</v>
      </c>
      <c r="G183" s="19">
        <v>0</v>
      </c>
      <c r="H183" s="19">
        <f>2000+689.2+46.5</f>
        <v>2735.7</v>
      </c>
      <c r="I183" s="19">
        <v>0</v>
      </c>
      <c r="J183" s="19">
        <v>0</v>
      </c>
      <c r="K183" s="268"/>
      <c r="L183" s="261"/>
    </row>
    <row r="184" spans="1:12" ht="16.5" x14ac:dyDescent="0.25">
      <c r="A184" s="362"/>
      <c r="B184" s="336"/>
      <c r="C184" s="33">
        <v>0</v>
      </c>
      <c r="D184" s="214">
        <v>2023</v>
      </c>
      <c r="E184" s="19">
        <f t="shared" si="13"/>
        <v>2897.5</v>
      </c>
      <c r="F184" s="23">
        <v>0</v>
      </c>
      <c r="G184" s="19">
        <v>0</v>
      </c>
      <c r="H184" s="19">
        <f>2135.4+762.1</f>
        <v>2897.5</v>
      </c>
      <c r="I184" s="19">
        <v>0</v>
      </c>
      <c r="J184" s="19">
        <v>0</v>
      </c>
      <c r="K184" s="268"/>
      <c r="L184" s="261"/>
    </row>
    <row r="185" spans="1:12" ht="16.5" x14ac:dyDescent="0.25">
      <c r="A185" s="362"/>
      <c r="B185" s="336"/>
      <c r="C185" s="33">
        <v>0</v>
      </c>
      <c r="D185" s="214">
        <v>2024</v>
      </c>
      <c r="E185" s="19">
        <f t="shared" si="13"/>
        <v>1538.8</v>
      </c>
      <c r="F185" s="23">
        <v>0</v>
      </c>
      <c r="G185" s="19">
        <v>0</v>
      </c>
      <c r="H185" s="138">
        <f>738.8+160+640</f>
        <v>1538.8</v>
      </c>
      <c r="I185" s="19">
        <v>0</v>
      </c>
      <c r="J185" s="19">
        <v>0</v>
      </c>
      <c r="K185" s="268"/>
      <c r="L185" s="261"/>
    </row>
    <row r="186" spans="1:12" ht="16.5" x14ac:dyDescent="0.25">
      <c r="A186" s="362"/>
      <c r="B186" s="336"/>
      <c r="C186" s="33">
        <v>0</v>
      </c>
      <c r="D186" s="214">
        <v>2025</v>
      </c>
      <c r="E186" s="19">
        <f t="shared" si="13"/>
        <v>0</v>
      </c>
      <c r="F186" s="23">
        <v>0</v>
      </c>
      <c r="G186" s="19">
        <v>0</v>
      </c>
      <c r="H186" s="138">
        <v>0</v>
      </c>
      <c r="I186" s="19">
        <v>0</v>
      </c>
      <c r="J186" s="19">
        <v>0</v>
      </c>
      <c r="K186" s="268"/>
      <c r="L186" s="261"/>
    </row>
    <row r="187" spans="1:12" ht="16.5" x14ac:dyDescent="0.25">
      <c r="A187" s="362"/>
      <c r="B187" s="336"/>
      <c r="C187" s="33"/>
      <c r="D187" s="103">
        <v>2026</v>
      </c>
      <c r="E187" s="19">
        <f t="shared" si="13"/>
        <v>0</v>
      </c>
      <c r="F187" s="23">
        <v>0</v>
      </c>
      <c r="G187" s="19">
        <v>0</v>
      </c>
      <c r="H187" s="138">
        <v>0</v>
      </c>
      <c r="I187" s="19">
        <v>0</v>
      </c>
      <c r="J187" s="19">
        <v>0</v>
      </c>
      <c r="K187" s="268"/>
      <c r="L187" s="261"/>
    </row>
    <row r="188" spans="1:12" ht="16.5" x14ac:dyDescent="0.25">
      <c r="A188" s="362"/>
      <c r="B188" s="336" t="s">
        <v>60</v>
      </c>
      <c r="C188" s="32">
        <v>0</v>
      </c>
      <c r="D188" s="4">
        <v>2018</v>
      </c>
      <c r="E188" s="19">
        <f t="shared" si="13"/>
        <v>11257.6</v>
      </c>
      <c r="F188" s="19">
        <v>0</v>
      </c>
      <c r="G188" s="19">
        <v>0</v>
      </c>
      <c r="H188" s="19">
        <v>11257.6</v>
      </c>
      <c r="I188" s="19">
        <v>0</v>
      </c>
      <c r="J188" s="19">
        <v>0</v>
      </c>
      <c r="K188" s="268"/>
      <c r="L188" s="261"/>
    </row>
    <row r="189" spans="1:12" ht="16.5" x14ac:dyDescent="0.25">
      <c r="A189" s="362"/>
      <c r="B189" s="336"/>
      <c r="C189" s="32">
        <v>0</v>
      </c>
      <c r="D189" s="4">
        <v>2019</v>
      </c>
      <c r="E189" s="19">
        <f t="shared" si="13"/>
        <v>12701.7</v>
      </c>
      <c r="F189" s="19">
        <v>0</v>
      </c>
      <c r="G189" s="19">
        <v>0</v>
      </c>
      <c r="H189" s="19">
        <v>12701.7</v>
      </c>
      <c r="I189" s="19">
        <v>0</v>
      </c>
      <c r="J189" s="19">
        <v>0</v>
      </c>
      <c r="K189" s="268"/>
      <c r="L189" s="261"/>
    </row>
    <row r="190" spans="1:12" ht="16.5" x14ac:dyDescent="0.25">
      <c r="A190" s="362"/>
      <c r="B190" s="336"/>
      <c r="C190" s="32">
        <v>0</v>
      </c>
      <c r="D190" s="214">
        <v>2020</v>
      </c>
      <c r="E190" s="19">
        <f t="shared" si="13"/>
        <v>10967.7</v>
      </c>
      <c r="F190" s="23">
        <v>0</v>
      </c>
      <c r="G190" s="19">
        <v>0</v>
      </c>
      <c r="H190" s="19">
        <v>10967.7</v>
      </c>
      <c r="I190" s="19">
        <v>0</v>
      </c>
      <c r="J190" s="19">
        <v>0</v>
      </c>
      <c r="K190" s="268"/>
      <c r="L190" s="261"/>
    </row>
    <row r="191" spans="1:12" ht="16.5" x14ac:dyDescent="0.25">
      <c r="A191" s="362"/>
      <c r="B191" s="336"/>
      <c r="C191" s="33">
        <v>0</v>
      </c>
      <c r="D191" s="214">
        <v>2021</v>
      </c>
      <c r="E191" s="19">
        <f t="shared" si="13"/>
        <v>15710.1</v>
      </c>
      <c r="F191" s="23">
        <v>0</v>
      </c>
      <c r="G191" s="19">
        <v>0</v>
      </c>
      <c r="H191" s="19">
        <v>15710.1</v>
      </c>
      <c r="I191" s="19">
        <v>0</v>
      </c>
      <c r="J191" s="19">
        <v>0</v>
      </c>
      <c r="K191" s="268"/>
      <c r="L191" s="261"/>
    </row>
    <row r="192" spans="1:12" ht="16.5" x14ac:dyDescent="0.25">
      <c r="A192" s="362"/>
      <c r="B192" s="336"/>
      <c r="C192" s="33">
        <v>0</v>
      </c>
      <c r="D192" s="214">
        <v>2022</v>
      </c>
      <c r="E192" s="19">
        <f t="shared" si="13"/>
        <v>8463.1</v>
      </c>
      <c r="F192" s="23">
        <v>0</v>
      </c>
      <c r="G192" s="19">
        <v>0</v>
      </c>
      <c r="H192" s="19">
        <f>7614.9+1163+350+0.1-664.9</f>
        <v>8463.1</v>
      </c>
      <c r="I192" s="19">
        <v>0</v>
      </c>
      <c r="J192" s="19">
        <v>0</v>
      </c>
      <c r="K192" s="268"/>
      <c r="L192" s="261"/>
    </row>
    <row r="193" spans="1:12" ht="16.5" x14ac:dyDescent="0.25">
      <c r="A193" s="362"/>
      <c r="B193" s="336"/>
      <c r="C193" s="33">
        <v>0</v>
      </c>
      <c r="D193" s="214">
        <v>2023</v>
      </c>
      <c r="E193" s="19">
        <f t="shared" si="13"/>
        <v>13758.4</v>
      </c>
      <c r="F193" s="23">
        <v>0</v>
      </c>
      <c r="G193" s="19">
        <v>0</v>
      </c>
      <c r="H193" s="19">
        <f>6521+2544.7-10+244.9-5+1391.8+3233.1-122.1-40</f>
        <v>13758.4</v>
      </c>
      <c r="I193" s="19">
        <v>0</v>
      </c>
      <c r="J193" s="19">
        <v>0</v>
      </c>
      <c r="K193" s="268"/>
      <c r="L193" s="261"/>
    </row>
    <row r="194" spans="1:12" ht="16.5" x14ac:dyDescent="0.25">
      <c r="A194" s="362"/>
      <c r="B194" s="336"/>
      <c r="C194" s="33">
        <v>0</v>
      </c>
      <c r="D194" s="214">
        <v>2024</v>
      </c>
      <c r="E194" s="19">
        <f t="shared" si="13"/>
        <v>15455.9</v>
      </c>
      <c r="F194" s="23">
        <v>0</v>
      </c>
      <c r="G194" s="19">
        <v>0</v>
      </c>
      <c r="H194" s="138">
        <f>15455.9</f>
        <v>15455.9</v>
      </c>
      <c r="I194" s="19">
        <v>0</v>
      </c>
      <c r="J194" s="19">
        <v>0</v>
      </c>
      <c r="K194" s="268"/>
      <c r="L194" s="261"/>
    </row>
    <row r="195" spans="1:12" ht="16.5" x14ac:dyDescent="0.25">
      <c r="A195" s="362"/>
      <c r="B195" s="336"/>
      <c r="C195" s="33">
        <v>0</v>
      </c>
      <c r="D195" s="214">
        <v>2025</v>
      </c>
      <c r="E195" s="19">
        <f t="shared" si="13"/>
        <v>11153.6</v>
      </c>
      <c r="F195" s="23">
        <v>0</v>
      </c>
      <c r="G195" s="19">
        <v>0</v>
      </c>
      <c r="H195" s="138">
        <f>11153.6</f>
        <v>11153.6</v>
      </c>
      <c r="I195" s="19">
        <v>0</v>
      </c>
      <c r="J195" s="19">
        <v>0</v>
      </c>
      <c r="K195" s="268"/>
      <c r="L195" s="261"/>
    </row>
    <row r="196" spans="1:12" ht="16.5" x14ac:dyDescent="0.25">
      <c r="A196" s="362"/>
      <c r="B196" s="336"/>
      <c r="C196" s="33"/>
      <c r="D196" s="103">
        <v>2026</v>
      </c>
      <c r="E196" s="19">
        <f t="shared" si="13"/>
        <v>11153.6</v>
      </c>
      <c r="F196" s="23">
        <v>0</v>
      </c>
      <c r="G196" s="19">
        <v>0</v>
      </c>
      <c r="H196" s="138">
        <f>11153.6</f>
        <v>11153.6</v>
      </c>
      <c r="I196" s="19">
        <v>0</v>
      </c>
      <c r="J196" s="19">
        <v>0</v>
      </c>
      <c r="K196" s="268"/>
      <c r="L196" s="261"/>
    </row>
    <row r="197" spans="1:12" ht="16.5" x14ac:dyDescent="0.25">
      <c r="A197" s="362"/>
      <c r="B197" s="336" t="s">
        <v>61</v>
      </c>
      <c r="C197" s="32">
        <v>0</v>
      </c>
      <c r="D197" s="4">
        <v>2018</v>
      </c>
      <c r="E197" s="19">
        <f t="shared" si="13"/>
        <v>187.3</v>
      </c>
      <c r="F197" s="19">
        <v>0</v>
      </c>
      <c r="G197" s="19">
        <v>0</v>
      </c>
      <c r="H197" s="19">
        <v>187.3</v>
      </c>
      <c r="I197" s="19">
        <v>0</v>
      </c>
      <c r="J197" s="19">
        <v>0</v>
      </c>
      <c r="K197" s="268"/>
      <c r="L197" s="261"/>
    </row>
    <row r="198" spans="1:12" ht="16.5" x14ac:dyDescent="0.25">
      <c r="A198" s="362"/>
      <c r="B198" s="336"/>
      <c r="C198" s="32">
        <v>0</v>
      </c>
      <c r="D198" s="4">
        <v>2019</v>
      </c>
      <c r="E198" s="19">
        <f t="shared" si="13"/>
        <v>193</v>
      </c>
      <c r="F198" s="19">
        <v>0</v>
      </c>
      <c r="G198" s="19">
        <v>0</v>
      </c>
      <c r="H198" s="19">
        <v>193</v>
      </c>
      <c r="I198" s="19">
        <v>0</v>
      </c>
      <c r="J198" s="19">
        <v>0</v>
      </c>
      <c r="K198" s="268"/>
      <c r="L198" s="261"/>
    </row>
    <row r="199" spans="1:12" ht="16.5" x14ac:dyDescent="0.25">
      <c r="A199" s="362"/>
      <c r="B199" s="336"/>
      <c r="C199" s="32">
        <v>0</v>
      </c>
      <c r="D199" s="214">
        <v>2020</v>
      </c>
      <c r="E199" s="19">
        <f t="shared" si="13"/>
        <v>153</v>
      </c>
      <c r="F199" s="23">
        <v>0</v>
      </c>
      <c r="G199" s="19">
        <v>0</v>
      </c>
      <c r="H199" s="19">
        <v>153</v>
      </c>
      <c r="I199" s="19">
        <v>0</v>
      </c>
      <c r="J199" s="19">
        <v>0</v>
      </c>
      <c r="K199" s="268"/>
      <c r="L199" s="261"/>
    </row>
    <row r="200" spans="1:12" ht="16.5" x14ac:dyDescent="0.25">
      <c r="A200" s="362"/>
      <c r="B200" s="336"/>
      <c r="C200" s="33">
        <v>0</v>
      </c>
      <c r="D200" s="214">
        <v>2021</v>
      </c>
      <c r="E200" s="19">
        <f t="shared" si="13"/>
        <v>277.3</v>
      </c>
      <c r="F200" s="23">
        <v>0</v>
      </c>
      <c r="G200" s="19">
        <v>0</v>
      </c>
      <c r="H200" s="19">
        <v>277.3</v>
      </c>
      <c r="I200" s="19">
        <v>0</v>
      </c>
      <c r="J200" s="19">
        <v>0</v>
      </c>
      <c r="K200" s="268"/>
      <c r="L200" s="261"/>
    </row>
    <row r="201" spans="1:12" ht="16.5" x14ac:dyDescent="0.25">
      <c r="A201" s="362"/>
      <c r="B201" s="336"/>
      <c r="C201" s="33">
        <v>0</v>
      </c>
      <c r="D201" s="214">
        <v>2022</v>
      </c>
      <c r="E201" s="19">
        <f t="shared" si="13"/>
        <v>406</v>
      </c>
      <c r="F201" s="23">
        <v>0</v>
      </c>
      <c r="G201" s="19">
        <v>0</v>
      </c>
      <c r="H201" s="19">
        <f>336+70</f>
        <v>406</v>
      </c>
      <c r="I201" s="19">
        <v>0</v>
      </c>
      <c r="J201" s="19">
        <v>0</v>
      </c>
      <c r="K201" s="268"/>
      <c r="L201" s="261"/>
    </row>
    <row r="202" spans="1:12" ht="16.5" x14ac:dyDescent="0.25">
      <c r="A202" s="362"/>
      <c r="B202" s="336"/>
      <c r="C202" s="33">
        <v>0</v>
      </c>
      <c r="D202" s="214">
        <v>2023</v>
      </c>
      <c r="E202" s="19">
        <f t="shared" si="13"/>
        <v>378.3</v>
      </c>
      <c r="F202" s="23">
        <v>0</v>
      </c>
      <c r="G202" s="19">
        <v>0</v>
      </c>
      <c r="H202" s="19">
        <f>289+39.3+10+40</f>
        <v>378.3</v>
      </c>
      <c r="I202" s="19">
        <v>0</v>
      </c>
      <c r="J202" s="19">
        <v>0</v>
      </c>
      <c r="K202" s="268"/>
      <c r="L202" s="261"/>
    </row>
    <row r="203" spans="1:12" ht="16.5" x14ac:dyDescent="0.25">
      <c r="A203" s="362"/>
      <c r="B203" s="336"/>
      <c r="C203" s="33">
        <v>0</v>
      </c>
      <c r="D203" s="214">
        <v>2024</v>
      </c>
      <c r="E203" s="19">
        <f t="shared" si="13"/>
        <v>536.20000000000005</v>
      </c>
      <c r="F203" s="23">
        <v>0</v>
      </c>
      <c r="G203" s="19">
        <v>0</v>
      </c>
      <c r="H203" s="178">
        <v>536.20000000000005</v>
      </c>
      <c r="I203" s="19">
        <v>0</v>
      </c>
      <c r="J203" s="19">
        <v>0</v>
      </c>
      <c r="K203" s="268"/>
      <c r="L203" s="261"/>
    </row>
    <row r="204" spans="1:12" ht="16.5" x14ac:dyDescent="0.25">
      <c r="A204" s="362"/>
      <c r="B204" s="336"/>
      <c r="C204" s="33">
        <v>0</v>
      </c>
      <c r="D204" s="214">
        <v>2025</v>
      </c>
      <c r="E204" s="19">
        <f t="shared" si="13"/>
        <v>536.20000000000005</v>
      </c>
      <c r="F204" s="23">
        <v>0</v>
      </c>
      <c r="G204" s="19">
        <v>0</v>
      </c>
      <c r="H204" s="138">
        <v>536.20000000000005</v>
      </c>
      <c r="I204" s="19">
        <v>0</v>
      </c>
      <c r="J204" s="19">
        <v>0</v>
      </c>
      <c r="K204" s="268"/>
      <c r="L204" s="261"/>
    </row>
    <row r="205" spans="1:12" ht="16.5" x14ac:dyDescent="0.25">
      <c r="A205" s="362"/>
      <c r="B205" s="336"/>
      <c r="C205" s="33"/>
      <c r="D205" s="103">
        <v>2026</v>
      </c>
      <c r="E205" s="19">
        <f t="shared" si="13"/>
        <v>536.20000000000005</v>
      </c>
      <c r="F205" s="23">
        <v>0</v>
      </c>
      <c r="G205" s="19">
        <v>0</v>
      </c>
      <c r="H205" s="138">
        <v>536.20000000000005</v>
      </c>
      <c r="I205" s="19">
        <v>0</v>
      </c>
      <c r="J205" s="19">
        <v>0</v>
      </c>
      <c r="K205" s="268"/>
      <c r="L205" s="261"/>
    </row>
    <row r="206" spans="1:12" ht="16.5" x14ac:dyDescent="0.25">
      <c r="A206" s="362"/>
      <c r="B206" s="336" t="s">
        <v>62</v>
      </c>
      <c r="C206" s="32">
        <v>0</v>
      </c>
      <c r="D206" s="4">
        <v>2018</v>
      </c>
      <c r="E206" s="19">
        <f t="shared" si="13"/>
        <v>50</v>
      </c>
      <c r="F206" s="19">
        <v>0</v>
      </c>
      <c r="G206" s="19">
        <v>0</v>
      </c>
      <c r="H206" s="19">
        <v>50</v>
      </c>
      <c r="I206" s="19">
        <v>0</v>
      </c>
      <c r="J206" s="19">
        <v>0</v>
      </c>
      <c r="K206" s="268"/>
      <c r="L206" s="261"/>
    </row>
    <row r="207" spans="1:12" ht="16.5" x14ac:dyDescent="0.25">
      <c r="A207" s="362"/>
      <c r="B207" s="336"/>
      <c r="C207" s="32">
        <v>0</v>
      </c>
      <c r="D207" s="4">
        <v>2019</v>
      </c>
      <c r="E207" s="19">
        <f t="shared" si="13"/>
        <v>39</v>
      </c>
      <c r="F207" s="19">
        <v>0</v>
      </c>
      <c r="G207" s="19">
        <v>0</v>
      </c>
      <c r="H207" s="19">
        <v>39</v>
      </c>
      <c r="I207" s="19">
        <v>0</v>
      </c>
      <c r="J207" s="19">
        <v>0</v>
      </c>
      <c r="K207" s="268"/>
      <c r="L207" s="261"/>
    </row>
    <row r="208" spans="1:12" ht="16.5" x14ac:dyDescent="0.25">
      <c r="A208" s="362"/>
      <c r="B208" s="336"/>
      <c r="C208" s="32">
        <v>0</v>
      </c>
      <c r="D208" s="214">
        <v>2020</v>
      </c>
      <c r="E208" s="19">
        <f t="shared" si="13"/>
        <v>0</v>
      </c>
      <c r="F208" s="23">
        <v>0</v>
      </c>
      <c r="G208" s="19">
        <v>0</v>
      </c>
      <c r="H208" s="19">
        <v>0</v>
      </c>
      <c r="I208" s="19">
        <v>0</v>
      </c>
      <c r="J208" s="19">
        <v>0</v>
      </c>
      <c r="K208" s="268"/>
      <c r="L208" s="261"/>
    </row>
    <row r="209" spans="1:12" ht="16.5" x14ac:dyDescent="0.25">
      <c r="A209" s="362"/>
      <c r="B209" s="336"/>
      <c r="C209" s="33">
        <v>0</v>
      </c>
      <c r="D209" s="214">
        <v>2021</v>
      </c>
      <c r="E209" s="19">
        <f t="shared" si="13"/>
        <v>0</v>
      </c>
      <c r="F209" s="23">
        <v>0</v>
      </c>
      <c r="G209" s="19">
        <v>0</v>
      </c>
      <c r="H209" s="19">
        <v>0</v>
      </c>
      <c r="I209" s="19">
        <v>0</v>
      </c>
      <c r="J209" s="19">
        <v>0</v>
      </c>
      <c r="K209" s="268"/>
      <c r="L209" s="261"/>
    </row>
    <row r="210" spans="1:12" ht="16.5" x14ac:dyDescent="0.25">
      <c r="A210" s="362"/>
      <c r="B210" s="336"/>
      <c r="C210" s="33">
        <v>0</v>
      </c>
      <c r="D210" s="214">
        <v>2022</v>
      </c>
      <c r="E210" s="19">
        <f t="shared" si="13"/>
        <v>0</v>
      </c>
      <c r="F210" s="23">
        <v>0</v>
      </c>
      <c r="G210" s="19">
        <v>0</v>
      </c>
      <c r="H210" s="19">
        <v>0</v>
      </c>
      <c r="I210" s="19">
        <v>0</v>
      </c>
      <c r="J210" s="19">
        <v>0</v>
      </c>
      <c r="K210" s="268"/>
      <c r="L210" s="261"/>
    </row>
    <row r="211" spans="1:12" ht="16.5" x14ac:dyDescent="0.25">
      <c r="A211" s="362"/>
      <c r="B211" s="336"/>
      <c r="C211" s="33">
        <v>0</v>
      </c>
      <c r="D211" s="214">
        <v>2023</v>
      </c>
      <c r="E211" s="19">
        <f t="shared" si="13"/>
        <v>0</v>
      </c>
      <c r="F211" s="23">
        <v>0</v>
      </c>
      <c r="G211" s="19">
        <v>0</v>
      </c>
      <c r="H211" s="19">
        <v>0</v>
      </c>
      <c r="I211" s="19">
        <v>0</v>
      </c>
      <c r="J211" s="19">
        <v>0</v>
      </c>
      <c r="K211" s="268"/>
      <c r="L211" s="261"/>
    </row>
    <row r="212" spans="1:12" ht="16.5" x14ac:dyDescent="0.25">
      <c r="A212" s="362"/>
      <c r="B212" s="336"/>
      <c r="C212" s="33">
        <v>0</v>
      </c>
      <c r="D212" s="214">
        <v>2024</v>
      </c>
      <c r="E212" s="19">
        <f t="shared" si="13"/>
        <v>0</v>
      </c>
      <c r="F212" s="23">
        <v>0</v>
      </c>
      <c r="G212" s="19">
        <v>0</v>
      </c>
      <c r="H212" s="19">
        <v>0</v>
      </c>
      <c r="I212" s="19">
        <v>0</v>
      </c>
      <c r="J212" s="19">
        <v>0</v>
      </c>
      <c r="K212" s="268"/>
      <c r="L212" s="261"/>
    </row>
    <row r="213" spans="1:12" ht="16.5" x14ac:dyDescent="0.25">
      <c r="A213" s="362"/>
      <c r="B213" s="336"/>
      <c r="C213" s="33">
        <v>0</v>
      </c>
      <c r="D213" s="214">
        <v>2025</v>
      </c>
      <c r="E213" s="19">
        <f t="shared" si="13"/>
        <v>0</v>
      </c>
      <c r="F213" s="23">
        <v>0</v>
      </c>
      <c r="G213" s="19">
        <v>0</v>
      </c>
      <c r="H213" s="19">
        <v>0</v>
      </c>
      <c r="I213" s="19">
        <v>0</v>
      </c>
      <c r="J213" s="19">
        <v>0</v>
      </c>
      <c r="K213" s="268"/>
      <c r="L213" s="261"/>
    </row>
    <row r="214" spans="1:12" ht="16.5" x14ac:dyDescent="0.25">
      <c r="A214" s="362"/>
      <c r="B214" s="336"/>
      <c r="C214" s="33"/>
      <c r="D214" s="103">
        <v>2026</v>
      </c>
      <c r="E214" s="19">
        <f t="shared" si="13"/>
        <v>0</v>
      </c>
      <c r="F214" s="23">
        <v>0</v>
      </c>
      <c r="G214" s="19">
        <v>0</v>
      </c>
      <c r="H214" s="19">
        <v>0</v>
      </c>
      <c r="I214" s="19">
        <v>0</v>
      </c>
      <c r="J214" s="19">
        <v>0</v>
      </c>
      <c r="K214" s="268"/>
      <c r="L214" s="261"/>
    </row>
    <row r="215" spans="1:12" ht="16.5" x14ac:dyDescent="0.25">
      <c r="A215" s="362"/>
      <c r="B215" s="336" t="s">
        <v>63</v>
      </c>
      <c r="C215" s="32">
        <v>0</v>
      </c>
      <c r="D215" s="4">
        <v>2018</v>
      </c>
      <c r="E215" s="19">
        <f t="shared" si="13"/>
        <v>39824.9</v>
      </c>
      <c r="F215" s="19">
        <v>0</v>
      </c>
      <c r="G215" s="19">
        <v>0</v>
      </c>
      <c r="H215" s="19">
        <v>0</v>
      </c>
      <c r="I215" s="19">
        <v>0</v>
      </c>
      <c r="J215" s="19">
        <v>39824.9</v>
      </c>
      <c r="K215" s="268"/>
      <c r="L215" s="261"/>
    </row>
    <row r="216" spans="1:12" ht="16.5" x14ac:dyDescent="0.25">
      <c r="A216" s="362"/>
      <c r="B216" s="336"/>
      <c r="C216" s="32">
        <v>0</v>
      </c>
      <c r="D216" s="4">
        <v>2019</v>
      </c>
      <c r="E216" s="19">
        <f t="shared" si="13"/>
        <v>39150</v>
      </c>
      <c r="F216" s="19">
        <v>0</v>
      </c>
      <c r="G216" s="19">
        <v>0</v>
      </c>
      <c r="H216" s="19">
        <v>0</v>
      </c>
      <c r="I216" s="19">
        <v>0</v>
      </c>
      <c r="J216" s="19">
        <v>39150</v>
      </c>
      <c r="K216" s="268"/>
      <c r="L216" s="261"/>
    </row>
    <row r="217" spans="1:12" ht="16.5" x14ac:dyDescent="0.25">
      <c r="A217" s="362"/>
      <c r="B217" s="336"/>
      <c r="C217" s="32">
        <v>0</v>
      </c>
      <c r="D217" s="214">
        <v>2020</v>
      </c>
      <c r="E217" s="19">
        <f t="shared" si="13"/>
        <v>41017</v>
      </c>
      <c r="F217" s="23">
        <v>0</v>
      </c>
      <c r="G217" s="19">
        <v>0</v>
      </c>
      <c r="H217" s="19">
        <v>0</v>
      </c>
      <c r="I217" s="19">
        <v>0</v>
      </c>
      <c r="J217" s="19">
        <v>41017</v>
      </c>
      <c r="K217" s="268"/>
      <c r="L217" s="261"/>
    </row>
    <row r="218" spans="1:12" ht="16.5" x14ac:dyDescent="0.25">
      <c r="A218" s="362"/>
      <c r="B218" s="336"/>
      <c r="C218" s="33">
        <v>0</v>
      </c>
      <c r="D218" s="214">
        <v>2021</v>
      </c>
      <c r="E218" s="19">
        <f t="shared" si="13"/>
        <v>22420</v>
      </c>
      <c r="F218" s="23">
        <v>0</v>
      </c>
      <c r="G218" s="19">
        <v>0</v>
      </c>
      <c r="H218" s="19">
        <v>0</v>
      </c>
      <c r="I218" s="19">
        <v>0</v>
      </c>
      <c r="J218" s="19">
        <v>22420</v>
      </c>
      <c r="K218" s="268"/>
      <c r="L218" s="261"/>
    </row>
    <row r="219" spans="1:12" ht="16.5" x14ac:dyDescent="0.25">
      <c r="A219" s="362"/>
      <c r="B219" s="336"/>
      <c r="C219" s="33">
        <v>0</v>
      </c>
      <c r="D219" s="214">
        <v>2022</v>
      </c>
      <c r="E219" s="19">
        <f t="shared" si="13"/>
        <v>25420</v>
      </c>
      <c r="F219" s="23">
        <v>0</v>
      </c>
      <c r="G219" s="19">
        <v>0</v>
      </c>
      <c r="H219" s="19">
        <v>0</v>
      </c>
      <c r="I219" s="19">
        <v>0</v>
      </c>
      <c r="J219" s="19">
        <v>25420</v>
      </c>
      <c r="K219" s="268"/>
      <c r="L219" s="261"/>
    </row>
    <row r="220" spans="1:12" ht="16.5" x14ac:dyDescent="0.25">
      <c r="A220" s="362"/>
      <c r="B220" s="336"/>
      <c r="C220" s="33">
        <v>0</v>
      </c>
      <c r="D220" s="214">
        <v>2023</v>
      </c>
      <c r="E220" s="19">
        <f t="shared" si="13"/>
        <v>27000</v>
      </c>
      <c r="F220" s="23">
        <v>0</v>
      </c>
      <c r="G220" s="19">
        <v>0</v>
      </c>
      <c r="H220" s="19">
        <v>0</v>
      </c>
      <c r="I220" s="19">
        <v>0</v>
      </c>
      <c r="J220" s="19">
        <f>25420+1580</f>
        <v>27000</v>
      </c>
      <c r="K220" s="268"/>
      <c r="L220" s="261"/>
    </row>
    <row r="221" spans="1:12" ht="16.5" x14ac:dyDescent="0.25">
      <c r="A221" s="362"/>
      <c r="B221" s="336"/>
      <c r="C221" s="33">
        <v>0</v>
      </c>
      <c r="D221" s="214">
        <v>2024</v>
      </c>
      <c r="E221" s="19">
        <f t="shared" si="13"/>
        <v>27000</v>
      </c>
      <c r="F221" s="23">
        <v>0</v>
      </c>
      <c r="G221" s="19">
        <v>0</v>
      </c>
      <c r="H221" s="19">
        <v>0</v>
      </c>
      <c r="I221" s="19">
        <v>0</v>
      </c>
      <c r="J221" s="19">
        <v>27000</v>
      </c>
      <c r="K221" s="268"/>
      <c r="L221" s="261"/>
    </row>
    <row r="222" spans="1:12" ht="16.5" x14ac:dyDescent="0.25">
      <c r="A222" s="362"/>
      <c r="B222" s="336"/>
      <c r="C222" s="33">
        <v>0</v>
      </c>
      <c r="D222" s="214">
        <v>2025</v>
      </c>
      <c r="E222" s="19">
        <f t="shared" si="13"/>
        <v>27000</v>
      </c>
      <c r="F222" s="23">
        <v>0</v>
      </c>
      <c r="G222" s="19">
        <v>0</v>
      </c>
      <c r="H222" s="19">
        <v>0</v>
      </c>
      <c r="I222" s="19">
        <v>0</v>
      </c>
      <c r="J222" s="19">
        <v>27000</v>
      </c>
      <c r="K222" s="268"/>
      <c r="L222" s="261"/>
    </row>
    <row r="223" spans="1:12" ht="17.25" thickBot="1" x14ac:dyDescent="0.3">
      <c r="A223" s="363"/>
      <c r="B223" s="337"/>
      <c r="C223" s="34"/>
      <c r="D223" s="118">
        <v>2026</v>
      </c>
      <c r="E223" s="22">
        <f t="shared" si="13"/>
        <v>27000</v>
      </c>
      <c r="F223" s="24">
        <v>0</v>
      </c>
      <c r="G223" s="22">
        <v>0</v>
      </c>
      <c r="H223" s="22">
        <v>0</v>
      </c>
      <c r="I223" s="22">
        <v>0</v>
      </c>
      <c r="J223" s="22">
        <v>27000</v>
      </c>
      <c r="K223" s="269"/>
      <c r="L223" s="262"/>
    </row>
    <row r="224" spans="1:12" ht="16.5" x14ac:dyDescent="0.25">
      <c r="A224" s="361" t="s">
        <v>64</v>
      </c>
      <c r="B224" s="338" t="s">
        <v>65</v>
      </c>
      <c r="C224" s="31">
        <v>0</v>
      </c>
      <c r="D224" s="5">
        <v>2018</v>
      </c>
      <c r="E224" s="21">
        <f t="shared" si="13"/>
        <v>44244.2</v>
      </c>
      <c r="F224" s="21">
        <v>0</v>
      </c>
      <c r="G224" s="21">
        <v>0</v>
      </c>
      <c r="H224" s="21">
        <f>H233+H243+H261+H270+H279+H288</f>
        <v>44244.2</v>
      </c>
      <c r="I224" s="21">
        <v>0</v>
      </c>
      <c r="J224" s="21">
        <v>0</v>
      </c>
      <c r="K224" s="267" t="s">
        <v>199</v>
      </c>
      <c r="L224" s="260" t="s">
        <v>38</v>
      </c>
    </row>
    <row r="225" spans="1:13" ht="16.5" x14ac:dyDescent="0.25">
      <c r="A225" s="362"/>
      <c r="B225" s="336"/>
      <c r="C225" s="32">
        <v>0</v>
      </c>
      <c r="D225" s="4">
        <v>2019</v>
      </c>
      <c r="E225" s="19">
        <f t="shared" si="13"/>
        <v>47609.9</v>
      </c>
      <c r="F225" s="19">
        <v>0</v>
      </c>
      <c r="G225" s="19">
        <v>0</v>
      </c>
      <c r="H225" s="19">
        <f>H234+H244+H262+H271+H280+H289</f>
        <v>47609.9</v>
      </c>
      <c r="I225" s="19">
        <v>0</v>
      </c>
      <c r="J225" s="19">
        <v>0</v>
      </c>
      <c r="K225" s="268"/>
      <c r="L225" s="261"/>
    </row>
    <row r="226" spans="1:13" ht="16.5" x14ac:dyDescent="0.25">
      <c r="A226" s="362"/>
      <c r="B226" s="336"/>
      <c r="C226" s="32">
        <v>0</v>
      </c>
      <c r="D226" s="214">
        <v>2020</v>
      </c>
      <c r="E226" s="19">
        <f t="shared" si="13"/>
        <v>51076.5</v>
      </c>
      <c r="F226" s="23">
        <v>0</v>
      </c>
      <c r="G226" s="19">
        <v>0</v>
      </c>
      <c r="H226" s="19">
        <f>H235+H245+H263+H272+H281+H290</f>
        <v>51076.5</v>
      </c>
      <c r="I226" s="19">
        <v>0</v>
      </c>
      <c r="J226" s="19">
        <v>0</v>
      </c>
      <c r="K226" s="268"/>
      <c r="L226" s="261"/>
    </row>
    <row r="227" spans="1:13" ht="16.5" x14ac:dyDescent="0.25">
      <c r="A227" s="362"/>
      <c r="B227" s="336"/>
      <c r="C227" s="33">
        <v>0</v>
      </c>
      <c r="D227" s="214">
        <v>2021</v>
      </c>
      <c r="E227" s="19">
        <f t="shared" si="13"/>
        <v>63313.9</v>
      </c>
      <c r="F227" s="23">
        <v>0</v>
      </c>
      <c r="G227" s="19">
        <v>0</v>
      </c>
      <c r="H227" s="19">
        <f>H236+H246+H264+H273+H282+H291</f>
        <v>63313.9</v>
      </c>
      <c r="I227" s="19">
        <v>0</v>
      </c>
      <c r="J227" s="19">
        <v>0</v>
      </c>
      <c r="K227" s="268"/>
      <c r="L227" s="261"/>
    </row>
    <row r="228" spans="1:13" ht="16.5" x14ac:dyDescent="0.25">
      <c r="A228" s="362"/>
      <c r="B228" s="336"/>
      <c r="C228" s="33">
        <v>0</v>
      </c>
      <c r="D228" s="214">
        <v>2022</v>
      </c>
      <c r="E228" s="19">
        <f t="shared" si="13"/>
        <v>66304.399999999994</v>
      </c>
      <c r="F228" s="23">
        <v>0</v>
      </c>
      <c r="G228" s="19">
        <v>0</v>
      </c>
      <c r="H228" s="19">
        <f>H237+H265+H274+H283+H292</f>
        <v>66304.399999999994</v>
      </c>
      <c r="I228" s="19">
        <v>0</v>
      </c>
      <c r="J228" s="19">
        <v>0</v>
      </c>
      <c r="K228" s="268"/>
      <c r="L228" s="261"/>
    </row>
    <row r="229" spans="1:13" ht="16.5" x14ac:dyDescent="0.25">
      <c r="A229" s="362"/>
      <c r="B229" s="336"/>
      <c r="C229" s="33">
        <v>0</v>
      </c>
      <c r="D229" s="214">
        <v>2023</v>
      </c>
      <c r="E229" s="19">
        <f t="shared" si="13"/>
        <v>70480.800000000003</v>
      </c>
      <c r="F229" s="23">
        <v>0</v>
      </c>
      <c r="G229" s="19">
        <v>0</v>
      </c>
      <c r="H229" s="19">
        <f>H238+H266+H275+H284+H293</f>
        <v>70480.800000000003</v>
      </c>
      <c r="I229" s="19">
        <v>0</v>
      </c>
      <c r="J229" s="19">
        <v>0</v>
      </c>
      <c r="K229" s="268"/>
      <c r="L229" s="261"/>
    </row>
    <row r="230" spans="1:13" ht="16.5" x14ac:dyDescent="0.25">
      <c r="A230" s="362"/>
      <c r="B230" s="336"/>
      <c r="C230" s="33">
        <v>0</v>
      </c>
      <c r="D230" s="214">
        <v>2024</v>
      </c>
      <c r="E230" s="19">
        <f>F230+G230+H230+J230</f>
        <v>79839</v>
      </c>
      <c r="F230" s="23">
        <v>0</v>
      </c>
      <c r="G230" s="19">
        <v>0</v>
      </c>
      <c r="H230" s="19">
        <f>H239+H267+H276+H285+H294</f>
        <v>79839</v>
      </c>
      <c r="I230" s="19">
        <v>0</v>
      </c>
      <c r="J230" s="19">
        <v>0</v>
      </c>
      <c r="K230" s="268"/>
      <c r="L230" s="261"/>
    </row>
    <row r="231" spans="1:13" ht="16.5" x14ac:dyDescent="0.25">
      <c r="A231" s="362"/>
      <c r="B231" s="336"/>
      <c r="C231" s="33">
        <v>0</v>
      </c>
      <c r="D231" s="214">
        <v>2025</v>
      </c>
      <c r="E231" s="19">
        <f t="shared" si="13"/>
        <v>78606.700000000012</v>
      </c>
      <c r="F231" s="23">
        <v>0</v>
      </c>
      <c r="G231" s="19">
        <v>0</v>
      </c>
      <c r="H231" s="19">
        <f>H240+H268+H277+H286+H295</f>
        <v>78606.700000000012</v>
      </c>
      <c r="I231" s="19">
        <v>0</v>
      </c>
      <c r="J231" s="19">
        <v>0</v>
      </c>
      <c r="K231" s="268"/>
      <c r="L231" s="261"/>
    </row>
    <row r="232" spans="1:13" ht="16.5" x14ac:dyDescent="0.25">
      <c r="A232" s="362"/>
      <c r="B232" s="336"/>
      <c r="C232" s="33"/>
      <c r="D232" s="103">
        <v>2026</v>
      </c>
      <c r="E232" s="19">
        <f t="shared" si="13"/>
        <v>77606.100000000006</v>
      </c>
      <c r="F232" s="23">
        <v>0</v>
      </c>
      <c r="G232" s="19">
        <v>0</v>
      </c>
      <c r="H232" s="19">
        <f>H241+H269+H278+H287+H296</f>
        <v>77606.100000000006</v>
      </c>
      <c r="I232" s="19">
        <v>0</v>
      </c>
      <c r="J232" s="19">
        <v>0</v>
      </c>
      <c r="K232" s="268"/>
      <c r="L232" s="261"/>
    </row>
    <row r="233" spans="1:13" ht="16.5" x14ac:dyDescent="0.25">
      <c r="A233" s="362"/>
      <c r="B233" s="336" t="s">
        <v>66</v>
      </c>
      <c r="C233" s="265" t="e">
        <f>#REF!+#REF!+#REF!+#REF!+#REF!+#REF!+#REF!+#REF!</f>
        <v>#REF!</v>
      </c>
      <c r="D233" s="4">
        <v>2018</v>
      </c>
      <c r="E233" s="19">
        <f t="shared" si="13"/>
        <v>44244.2</v>
      </c>
      <c r="F233" s="19">
        <v>0</v>
      </c>
      <c r="G233" s="19">
        <v>0</v>
      </c>
      <c r="H233" s="19">
        <v>44244.2</v>
      </c>
      <c r="I233" s="19">
        <v>0</v>
      </c>
      <c r="J233" s="19">
        <v>0</v>
      </c>
      <c r="K233" s="268"/>
      <c r="L233" s="261"/>
    </row>
    <row r="234" spans="1:13" ht="16.5" x14ac:dyDescent="0.25">
      <c r="A234" s="362"/>
      <c r="B234" s="336"/>
      <c r="C234" s="265"/>
      <c r="D234" s="4">
        <v>2019</v>
      </c>
      <c r="E234" s="19">
        <f t="shared" si="13"/>
        <v>47609.9</v>
      </c>
      <c r="F234" s="19">
        <v>0</v>
      </c>
      <c r="G234" s="19">
        <v>0</v>
      </c>
      <c r="H234" s="19">
        <v>47609.9</v>
      </c>
      <c r="I234" s="19">
        <v>0</v>
      </c>
      <c r="J234" s="19">
        <v>0</v>
      </c>
      <c r="K234" s="268"/>
      <c r="L234" s="261"/>
    </row>
    <row r="235" spans="1:13" ht="16.5" x14ac:dyDescent="0.25">
      <c r="A235" s="362"/>
      <c r="B235" s="336"/>
      <c r="C235" s="265"/>
      <c r="D235" s="214">
        <v>2020</v>
      </c>
      <c r="E235" s="19">
        <f t="shared" si="13"/>
        <v>49767.7</v>
      </c>
      <c r="F235" s="23">
        <v>0</v>
      </c>
      <c r="G235" s="19">
        <v>0</v>
      </c>
      <c r="H235" s="19">
        <v>49767.7</v>
      </c>
      <c r="I235" s="19">
        <v>0</v>
      </c>
      <c r="J235" s="19">
        <v>0</v>
      </c>
      <c r="K235" s="268"/>
      <c r="L235" s="261"/>
    </row>
    <row r="236" spans="1:13" ht="16.5" x14ac:dyDescent="0.25">
      <c r="A236" s="362"/>
      <c r="B236" s="336"/>
      <c r="C236" s="265"/>
      <c r="D236" s="214">
        <v>2021</v>
      </c>
      <c r="E236" s="19">
        <f t="shared" si="13"/>
        <v>49052.9</v>
      </c>
      <c r="F236" s="23">
        <v>0</v>
      </c>
      <c r="G236" s="19">
        <v>0</v>
      </c>
      <c r="H236" s="19">
        <v>49052.9</v>
      </c>
      <c r="I236" s="19">
        <v>0</v>
      </c>
      <c r="J236" s="19">
        <v>0</v>
      </c>
      <c r="K236" s="268"/>
      <c r="L236" s="261"/>
    </row>
    <row r="237" spans="1:13" ht="16.5" x14ac:dyDescent="0.25">
      <c r="A237" s="362"/>
      <c r="B237" s="336"/>
      <c r="C237" s="265"/>
      <c r="D237" s="214">
        <v>2022</v>
      </c>
      <c r="E237" s="19">
        <f t="shared" si="13"/>
        <v>64392.5</v>
      </c>
      <c r="F237" s="23">
        <v>0</v>
      </c>
      <c r="G237" s="19">
        <v>0</v>
      </c>
      <c r="H237" s="45">
        <f>56918.6-671.6+240.5+H247+459.1+200.4-70-2412.3+1746.8</f>
        <v>64392.5</v>
      </c>
      <c r="I237" s="19">
        <v>0</v>
      </c>
      <c r="J237" s="19">
        <v>0</v>
      </c>
      <c r="K237" s="268"/>
      <c r="L237" s="261"/>
    </row>
    <row r="238" spans="1:13" ht="16.5" x14ac:dyDescent="0.25">
      <c r="A238" s="362"/>
      <c r="B238" s="336"/>
      <c r="C238" s="265"/>
      <c r="D238" s="214">
        <v>2023</v>
      </c>
      <c r="E238" s="19">
        <f t="shared" si="13"/>
        <v>67615.600000000006</v>
      </c>
      <c r="F238" s="23">
        <v>0</v>
      </c>
      <c r="G238" s="19">
        <v>0</v>
      </c>
      <c r="H238" s="19">
        <f>63201.8+H248+H257</f>
        <v>67615.600000000006</v>
      </c>
      <c r="I238" s="19">
        <v>0</v>
      </c>
      <c r="J238" s="19">
        <v>0</v>
      </c>
      <c r="K238" s="268"/>
      <c r="L238" s="261"/>
      <c r="M238">
        <f>24847.2+11378.4+21794.2+4153.8+2807.3</f>
        <v>64980.900000000009</v>
      </c>
    </row>
    <row r="239" spans="1:13" ht="16.5" x14ac:dyDescent="0.25">
      <c r="A239" s="362"/>
      <c r="B239" s="336"/>
      <c r="C239" s="265"/>
      <c r="D239" s="214">
        <v>2024</v>
      </c>
      <c r="E239" s="19">
        <f t="shared" si="13"/>
        <v>76673</v>
      </c>
      <c r="F239" s="23">
        <v>0</v>
      </c>
      <c r="G239" s="19">
        <v>0</v>
      </c>
      <c r="H239" s="138">
        <f>75753+920</f>
        <v>76673</v>
      </c>
      <c r="I239" s="19">
        <v>0</v>
      </c>
      <c r="J239" s="19">
        <v>0</v>
      </c>
      <c r="K239" s="268"/>
      <c r="L239" s="261"/>
    </row>
    <row r="240" spans="1:13" ht="16.5" x14ac:dyDescent="0.25">
      <c r="A240" s="362"/>
      <c r="B240" s="336"/>
      <c r="C240" s="265"/>
      <c r="D240" s="214">
        <v>2025</v>
      </c>
      <c r="E240" s="19">
        <f t="shared" si="13"/>
        <v>76740.100000000006</v>
      </c>
      <c r="F240" s="23">
        <v>0</v>
      </c>
      <c r="G240" s="19">
        <v>0</v>
      </c>
      <c r="H240" s="138">
        <f>76740.1</f>
        <v>76740.100000000006</v>
      </c>
      <c r="I240" s="19">
        <v>0</v>
      </c>
      <c r="J240" s="19">
        <v>0</v>
      </c>
      <c r="K240" s="268"/>
      <c r="L240" s="261"/>
    </row>
    <row r="241" spans="1:12" ht="17.25" thickBot="1" x14ac:dyDescent="0.3">
      <c r="A241" s="363"/>
      <c r="B241" s="337"/>
      <c r="C241" s="226"/>
      <c r="D241" s="118">
        <v>2026</v>
      </c>
      <c r="E241" s="22">
        <f t="shared" si="13"/>
        <v>75740.100000000006</v>
      </c>
      <c r="F241" s="24">
        <v>0</v>
      </c>
      <c r="G241" s="22">
        <v>0</v>
      </c>
      <c r="H241" s="139">
        <f>75740.1</f>
        <v>75740.100000000006</v>
      </c>
      <c r="I241" s="22">
        <v>0</v>
      </c>
      <c r="J241" s="22">
        <v>0</v>
      </c>
      <c r="K241" s="269"/>
      <c r="L241" s="262"/>
    </row>
    <row r="242" spans="1:12" s="180" customFormat="1" ht="17.25" thickBot="1" x14ac:dyDescent="0.3">
      <c r="A242" s="133" t="s">
        <v>313</v>
      </c>
      <c r="B242" s="15">
        <v>2</v>
      </c>
      <c r="C242" s="15"/>
      <c r="D242" s="15">
        <v>3</v>
      </c>
      <c r="E242" s="15">
        <v>4</v>
      </c>
      <c r="F242" s="15">
        <v>5</v>
      </c>
      <c r="G242" s="15">
        <v>6</v>
      </c>
      <c r="H242" s="15">
        <v>7</v>
      </c>
      <c r="I242" s="15">
        <v>8</v>
      </c>
      <c r="J242" s="15">
        <v>9</v>
      </c>
      <c r="K242" s="134">
        <v>10</v>
      </c>
      <c r="L242" s="134">
        <v>11</v>
      </c>
    </row>
    <row r="243" spans="1:12" ht="16.5" x14ac:dyDescent="0.25">
      <c r="A243" s="342" t="s">
        <v>64</v>
      </c>
      <c r="B243" s="338" t="s">
        <v>67</v>
      </c>
      <c r="C243" s="161">
        <v>0</v>
      </c>
      <c r="D243" s="38">
        <v>2018</v>
      </c>
      <c r="E243" s="18">
        <f t="shared" si="13"/>
        <v>0</v>
      </c>
      <c r="F243" s="18">
        <v>0</v>
      </c>
      <c r="G243" s="18">
        <v>0</v>
      </c>
      <c r="H243" s="18">
        <v>0</v>
      </c>
      <c r="I243" s="18">
        <v>0</v>
      </c>
      <c r="J243" s="18">
        <v>0</v>
      </c>
      <c r="K243" s="267"/>
      <c r="L243" s="260"/>
    </row>
    <row r="244" spans="1:12" ht="16.5" x14ac:dyDescent="0.25">
      <c r="A244" s="343"/>
      <c r="B244" s="336"/>
      <c r="C244" s="32">
        <v>0</v>
      </c>
      <c r="D244" s="4">
        <v>2019</v>
      </c>
      <c r="E244" s="19">
        <f t="shared" ref="E244:E325" si="14">F244+G244+H244+J244</f>
        <v>0</v>
      </c>
      <c r="F244" s="19">
        <v>0</v>
      </c>
      <c r="G244" s="19">
        <v>0</v>
      </c>
      <c r="H244" s="19">
        <v>0</v>
      </c>
      <c r="I244" s="19">
        <v>0</v>
      </c>
      <c r="J244" s="19">
        <v>0</v>
      </c>
      <c r="K244" s="268"/>
      <c r="L244" s="261"/>
    </row>
    <row r="245" spans="1:12" ht="16.5" x14ac:dyDescent="0.25">
      <c r="A245" s="343"/>
      <c r="B245" s="336"/>
      <c r="C245" s="32">
        <v>0</v>
      </c>
      <c r="D245" s="214">
        <v>2020</v>
      </c>
      <c r="E245" s="19">
        <f t="shared" si="14"/>
        <v>1304</v>
      </c>
      <c r="F245" s="23">
        <v>0</v>
      </c>
      <c r="G245" s="19">
        <v>0</v>
      </c>
      <c r="H245" s="19">
        <v>1304</v>
      </c>
      <c r="I245" s="19">
        <v>0</v>
      </c>
      <c r="J245" s="19">
        <v>0</v>
      </c>
      <c r="K245" s="268"/>
      <c r="L245" s="261"/>
    </row>
    <row r="246" spans="1:12" ht="16.5" x14ac:dyDescent="0.25">
      <c r="A246" s="343"/>
      <c r="B246" s="336"/>
      <c r="C246" s="33">
        <v>0</v>
      </c>
      <c r="D246" s="214">
        <v>2021</v>
      </c>
      <c r="E246" s="19">
        <f t="shared" si="14"/>
        <v>8328.6</v>
      </c>
      <c r="F246" s="23">
        <v>0</v>
      </c>
      <c r="G246" s="19">
        <v>0</v>
      </c>
      <c r="H246" s="19">
        <v>8328.6</v>
      </c>
      <c r="I246" s="19">
        <v>0</v>
      </c>
      <c r="J246" s="19">
        <v>0</v>
      </c>
      <c r="K246" s="268"/>
      <c r="L246" s="261"/>
    </row>
    <row r="247" spans="1:12" ht="16.5" x14ac:dyDescent="0.25">
      <c r="A247" s="343"/>
      <c r="B247" s="336"/>
      <c r="C247" s="33">
        <v>0</v>
      </c>
      <c r="D247" s="214">
        <v>2022</v>
      </c>
      <c r="E247" s="19">
        <f t="shared" si="14"/>
        <v>7981</v>
      </c>
      <c r="F247" s="23">
        <v>0</v>
      </c>
      <c r="G247" s="19">
        <v>0</v>
      </c>
      <c r="H247" s="19">
        <f>8640.5-459.1-200.4</f>
        <v>7981</v>
      </c>
      <c r="I247" s="19">
        <v>0</v>
      </c>
      <c r="J247" s="19">
        <v>0</v>
      </c>
      <c r="K247" s="268"/>
      <c r="L247" s="261"/>
    </row>
    <row r="248" spans="1:12" ht="16.5" x14ac:dyDescent="0.25">
      <c r="A248" s="343"/>
      <c r="B248" s="336"/>
      <c r="C248" s="33">
        <v>0</v>
      </c>
      <c r="D248" s="214">
        <v>2023</v>
      </c>
      <c r="E248" s="19">
        <f t="shared" si="14"/>
        <v>882.80000000000018</v>
      </c>
      <c r="F248" s="23">
        <v>0</v>
      </c>
      <c r="G248" s="19">
        <v>0</v>
      </c>
      <c r="H248" s="19">
        <f>4413.8-H257</f>
        <v>882.80000000000018</v>
      </c>
      <c r="I248" s="19">
        <v>0</v>
      </c>
      <c r="J248" s="19">
        <v>0</v>
      </c>
      <c r="K248" s="268"/>
      <c r="L248" s="261"/>
    </row>
    <row r="249" spans="1:12" ht="16.5" x14ac:dyDescent="0.25">
      <c r="A249" s="343"/>
      <c r="B249" s="336"/>
      <c r="C249" s="33">
        <v>0</v>
      </c>
      <c r="D249" s="214">
        <v>2024</v>
      </c>
      <c r="E249" s="19">
        <f t="shared" si="14"/>
        <v>0</v>
      </c>
      <c r="F249" s="23">
        <v>0</v>
      </c>
      <c r="G249" s="19">
        <v>0</v>
      </c>
      <c r="H249" s="138">
        <v>0</v>
      </c>
      <c r="I249" s="19">
        <v>0</v>
      </c>
      <c r="J249" s="19">
        <v>0</v>
      </c>
      <c r="K249" s="268"/>
      <c r="L249" s="261"/>
    </row>
    <row r="250" spans="1:12" ht="16.5" x14ac:dyDescent="0.25">
      <c r="A250" s="343"/>
      <c r="B250" s="336"/>
      <c r="C250" s="33">
        <v>0</v>
      </c>
      <c r="D250" s="214">
        <v>2025</v>
      </c>
      <c r="E250" s="19">
        <f>F250+G250+H250+J250</f>
        <v>0</v>
      </c>
      <c r="F250" s="23">
        <v>0</v>
      </c>
      <c r="G250" s="19">
        <v>0</v>
      </c>
      <c r="H250" s="138">
        <v>0</v>
      </c>
      <c r="I250" s="19">
        <v>0</v>
      </c>
      <c r="J250" s="19">
        <v>0</v>
      </c>
      <c r="K250" s="268"/>
      <c r="L250" s="261"/>
    </row>
    <row r="251" spans="1:12" ht="16.5" x14ac:dyDescent="0.25">
      <c r="A251" s="343"/>
      <c r="B251" s="336"/>
      <c r="C251" s="33"/>
      <c r="D251" s="103">
        <v>2026</v>
      </c>
      <c r="E251" s="19">
        <f>F251+G251+H251+J251</f>
        <v>0</v>
      </c>
      <c r="F251" s="23">
        <v>0</v>
      </c>
      <c r="G251" s="19">
        <v>0</v>
      </c>
      <c r="H251" s="138">
        <v>0</v>
      </c>
      <c r="I251" s="19">
        <v>0</v>
      </c>
      <c r="J251" s="19">
        <v>0</v>
      </c>
      <c r="K251" s="268"/>
      <c r="L251" s="261"/>
    </row>
    <row r="252" spans="1:12" ht="16.5" x14ac:dyDescent="0.25">
      <c r="A252" s="343"/>
      <c r="B252" s="336" t="s">
        <v>320</v>
      </c>
      <c r="C252" s="32">
        <v>0</v>
      </c>
      <c r="D252" s="4">
        <v>2018</v>
      </c>
      <c r="E252" s="19">
        <f t="shared" ref="E252:E258" si="15">F252+G252+H252+J252</f>
        <v>0</v>
      </c>
      <c r="F252" s="19">
        <v>0</v>
      </c>
      <c r="G252" s="19">
        <v>0</v>
      </c>
      <c r="H252" s="19">
        <v>0</v>
      </c>
      <c r="I252" s="19">
        <v>0</v>
      </c>
      <c r="J252" s="19">
        <v>0</v>
      </c>
      <c r="K252" s="268"/>
      <c r="L252" s="261"/>
    </row>
    <row r="253" spans="1:12" ht="16.5" x14ac:dyDescent="0.25">
      <c r="A253" s="343"/>
      <c r="B253" s="336"/>
      <c r="C253" s="32">
        <v>0</v>
      </c>
      <c r="D253" s="4">
        <v>2019</v>
      </c>
      <c r="E253" s="19">
        <f t="shared" si="15"/>
        <v>0</v>
      </c>
      <c r="F253" s="19">
        <v>0</v>
      </c>
      <c r="G253" s="19">
        <v>0</v>
      </c>
      <c r="H253" s="19">
        <v>0</v>
      </c>
      <c r="I253" s="19">
        <v>0</v>
      </c>
      <c r="J253" s="19">
        <v>0</v>
      </c>
      <c r="K253" s="268"/>
      <c r="L253" s="261"/>
    </row>
    <row r="254" spans="1:12" ht="16.5" x14ac:dyDescent="0.25">
      <c r="A254" s="343"/>
      <c r="B254" s="336"/>
      <c r="C254" s="32">
        <v>0</v>
      </c>
      <c r="D254" s="214">
        <v>2020</v>
      </c>
      <c r="E254" s="19">
        <f t="shared" si="15"/>
        <v>0</v>
      </c>
      <c r="F254" s="23">
        <v>0</v>
      </c>
      <c r="G254" s="19">
        <v>0</v>
      </c>
      <c r="H254" s="19">
        <v>0</v>
      </c>
      <c r="I254" s="19">
        <v>0</v>
      </c>
      <c r="J254" s="19">
        <v>0</v>
      </c>
      <c r="K254" s="268"/>
      <c r="L254" s="261"/>
    </row>
    <row r="255" spans="1:12" ht="16.5" x14ac:dyDescent="0.25">
      <c r="A255" s="343"/>
      <c r="B255" s="336"/>
      <c r="C255" s="33">
        <v>0</v>
      </c>
      <c r="D255" s="214">
        <v>2021</v>
      </c>
      <c r="E255" s="19">
        <f t="shared" si="15"/>
        <v>0</v>
      </c>
      <c r="F255" s="23">
        <v>0</v>
      </c>
      <c r="G255" s="19">
        <v>0</v>
      </c>
      <c r="H255" s="19">
        <v>0</v>
      </c>
      <c r="I255" s="19">
        <v>0</v>
      </c>
      <c r="J255" s="19">
        <v>0</v>
      </c>
      <c r="K255" s="268"/>
      <c r="L255" s="261"/>
    </row>
    <row r="256" spans="1:12" ht="16.5" x14ac:dyDescent="0.25">
      <c r="A256" s="343"/>
      <c r="B256" s="336"/>
      <c r="C256" s="33">
        <v>0</v>
      </c>
      <c r="D256" s="214">
        <v>2022</v>
      </c>
      <c r="E256" s="19">
        <f t="shared" si="15"/>
        <v>0</v>
      </c>
      <c r="F256" s="23">
        <v>0</v>
      </c>
      <c r="G256" s="19">
        <v>0</v>
      </c>
      <c r="H256" s="19">
        <v>0</v>
      </c>
      <c r="I256" s="19">
        <v>0</v>
      </c>
      <c r="J256" s="19">
        <v>0</v>
      </c>
      <c r="K256" s="268"/>
      <c r="L256" s="261"/>
    </row>
    <row r="257" spans="1:12" ht="16.5" x14ac:dyDescent="0.25">
      <c r="A257" s="343"/>
      <c r="B257" s="336"/>
      <c r="C257" s="33">
        <v>0</v>
      </c>
      <c r="D257" s="214">
        <v>2023</v>
      </c>
      <c r="E257" s="19">
        <f t="shared" si="15"/>
        <v>3531</v>
      </c>
      <c r="F257" s="23">
        <v>0</v>
      </c>
      <c r="G257" s="19">
        <v>0</v>
      </c>
      <c r="H257" s="19">
        <v>3531</v>
      </c>
      <c r="I257" s="19">
        <v>0</v>
      </c>
      <c r="J257" s="19">
        <v>0</v>
      </c>
      <c r="K257" s="268"/>
      <c r="L257" s="261"/>
    </row>
    <row r="258" spans="1:12" ht="16.5" x14ac:dyDescent="0.25">
      <c r="A258" s="343"/>
      <c r="B258" s="336"/>
      <c r="C258" s="33">
        <v>0</v>
      </c>
      <c r="D258" s="214">
        <v>2024</v>
      </c>
      <c r="E258" s="19">
        <f t="shared" si="15"/>
        <v>7944.6</v>
      </c>
      <c r="F258" s="23">
        <v>0</v>
      </c>
      <c r="G258" s="19">
        <v>0</v>
      </c>
      <c r="H258" s="178">
        <v>7944.6</v>
      </c>
      <c r="I258" s="19">
        <v>0</v>
      </c>
      <c r="J258" s="19">
        <v>0</v>
      </c>
      <c r="K258" s="268"/>
      <c r="L258" s="261"/>
    </row>
    <row r="259" spans="1:12" ht="16.5" x14ac:dyDescent="0.25">
      <c r="A259" s="343"/>
      <c r="B259" s="336"/>
      <c r="C259" s="33">
        <v>0</v>
      </c>
      <c r="D259" s="214">
        <v>2025</v>
      </c>
      <c r="E259" s="19">
        <f>F259+G259+H259+J259</f>
        <v>7944.6</v>
      </c>
      <c r="F259" s="23">
        <v>0</v>
      </c>
      <c r="G259" s="19">
        <v>0</v>
      </c>
      <c r="H259" s="138">
        <f>7944.6</f>
        <v>7944.6</v>
      </c>
      <c r="I259" s="19">
        <v>0</v>
      </c>
      <c r="J259" s="19">
        <v>0</v>
      </c>
      <c r="K259" s="268"/>
      <c r="L259" s="261"/>
    </row>
    <row r="260" spans="1:12" ht="16.5" x14ac:dyDescent="0.25">
      <c r="A260" s="343"/>
      <c r="B260" s="336"/>
      <c r="C260" s="33"/>
      <c r="D260" s="103">
        <v>2026</v>
      </c>
      <c r="E260" s="19">
        <f>F260+G260+H260+J260</f>
        <v>7944.6</v>
      </c>
      <c r="F260" s="23">
        <v>0</v>
      </c>
      <c r="G260" s="19">
        <v>0</v>
      </c>
      <c r="H260" s="138">
        <f>7944.6</f>
        <v>7944.6</v>
      </c>
      <c r="I260" s="19">
        <v>0</v>
      </c>
      <c r="J260" s="19">
        <v>0</v>
      </c>
      <c r="K260" s="268"/>
      <c r="L260" s="261"/>
    </row>
    <row r="261" spans="1:12" ht="16.5" x14ac:dyDescent="0.25">
      <c r="A261" s="343"/>
      <c r="B261" s="336" t="s">
        <v>213</v>
      </c>
      <c r="C261" s="32">
        <v>0</v>
      </c>
      <c r="D261" s="4">
        <v>2018</v>
      </c>
      <c r="E261" s="19">
        <f t="shared" si="14"/>
        <v>0</v>
      </c>
      <c r="F261" s="19">
        <v>0</v>
      </c>
      <c r="G261" s="19">
        <v>0</v>
      </c>
      <c r="H261" s="19">
        <v>0</v>
      </c>
      <c r="I261" s="19">
        <v>0</v>
      </c>
      <c r="J261" s="19">
        <v>0</v>
      </c>
      <c r="K261" s="268"/>
      <c r="L261" s="261"/>
    </row>
    <row r="262" spans="1:12" ht="16.5" x14ac:dyDescent="0.25">
      <c r="A262" s="343"/>
      <c r="B262" s="336"/>
      <c r="C262" s="32">
        <v>0</v>
      </c>
      <c r="D262" s="4">
        <v>2019</v>
      </c>
      <c r="E262" s="19">
        <f t="shared" si="14"/>
        <v>0</v>
      </c>
      <c r="F262" s="19">
        <v>0</v>
      </c>
      <c r="G262" s="19">
        <v>0</v>
      </c>
      <c r="H262" s="19">
        <v>0</v>
      </c>
      <c r="I262" s="19">
        <v>0</v>
      </c>
      <c r="J262" s="19">
        <v>0</v>
      </c>
      <c r="K262" s="268"/>
      <c r="L262" s="261"/>
    </row>
    <row r="263" spans="1:12" ht="16.5" x14ac:dyDescent="0.25">
      <c r="A263" s="343"/>
      <c r="B263" s="336"/>
      <c r="C263" s="32">
        <v>0</v>
      </c>
      <c r="D263" s="214">
        <v>2020</v>
      </c>
      <c r="E263" s="19">
        <f t="shared" si="14"/>
        <v>0</v>
      </c>
      <c r="F263" s="19">
        <v>0</v>
      </c>
      <c r="G263" s="19">
        <v>0</v>
      </c>
      <c r="H263" s="19">
        <v>0</v>
      </c>
      <c r="I263" s="19">
        <v>0</v>
      </c>
      <c r="J263" s="19">
        <v>0</v>
      </c>
      <c r="K263" s="268"/>
      <c r="L263" s="261"/>
    </row>
    <row r="264" spans="1:12" ht="16.5" x14ac:dyDescent="0.25">
      <c r="A264" s="343"/>
      <c r="B264" s="336"/>
      <c r="C264" s="33">
        <v>0</v>
      </c>
      <c r="D264" s="214">
        <v>2021</v>
      </c>
      <c r="E264" s="19">
        <f t="shared" si="14"/>
        <v>0</v>
      </c>
      <c r="F264" s="19">
        <v>0</v>
      </c>
      <c r="G264" s="19">
        <v>0</v>
      </c>
      <c r="H264" s="19">
        <v>0</v>
      </c>
      <c r="I264" s="19">
        <v>0</v>
      </c>
      <c r="J264" s="19">
        <v>0</v>
      </c>
      <c r="K264" s="268"/>
      <c r="L264" s="261"/>
    </row>
    <row r="265" spans="1:12" ht="16.5" x14ac:dyDescent="0.25">
      <c r="A265" s="343"/>
      <c r="B265" s="336"/>
      <c r="C265" s="33">
        <v>0</v>
      </c>
      <c r="D265" s="214">
        <v>2022</v>
      </c>
      <c r="E265" s="19">
        <f t="shared" si="14"/>
        <v>67.099999999999994</v>
      </c>
      <c r="F265" s="19">
        <v>0</v>
      </c>
      <c r="G265" s="19">
        <v>0</v>
      </c>
      <c r="H265" s="19">
        <v>67.099999999999994</v>
      </c>
      <c r="I265" s="19">
        <v>0</v>
      </c>
      <c r="J265" s="19">
        <v>0</v>
      </c>
      <c r="K265" s="268"/>
      <c r="L265" s="261"/>
    </row>
    <row r="266" spans="1:12" ht="16.5" x14ac:dyDescent="0.25">
      <c r="A266" s="343"/>
      <c r="B266" s="336"/>
      <c r="C266" s="33">
        <v>0</v>
      </c>
      <c r="D266" s="214">
        <v>2023</v>
      </c>
      <c r="E266" s="19">
        <f t="shared" si="14"/>
        <v>150</v>
      </c>
      <c r="F266" s="19">
        <v>0</v>
      </c>
      <c r="G266" s="19">
        <v>0</v>
      </c>
      <c r="H266" s="19">
        <v>150</v>
      </c>
      <c r="I266" s="19">
        <v>0</v>
      </c>
      <c r="J266" s="19">
        <v>0</v>
      </c>
      <c r="K266" s="268"/>
      <c r="L266" s="261"/>
    </row>
    <row r="267" spans="1:12" ht="16.5" x14ac:dyDescent="0.25">
      <c r="A267" s="343"/>
      <c r="B267" s="336"/>
      <c r="C267" s="33">
        <v>0</v>
      </c>
      <c r="D267" s="214">
        <v>2024</v>
      </c>
      <c r="E267" s="19">
        <f t="shared" si="14"/>
        <v>379</v>
      </c>
      <c r="F267" s="19">
        <v>0</v>
      </c>
      <c r="G267" s="19">
        <v>0</v>
      </c>
      <c r="H267" s="138">
        <f>299+80</f>
        <v>379</v>
      </c>
      <c r="I267" s="19">
        <v>0</v>
      </c>
      <c r="J267" s="19">
        <v>0</v>
      </c>
      <c r="K267" s="268"/>
      <c r="L267" s="261"/>
    </row>
    <row r="268" spans="1:12" ht="16.5" x14ac:dyDescent="0.25">
      <c r="A268" s="343"/>
      <c r="B268" s="336"/>
      <c r="C268" s="33">
        <v>0</v>
      </c>
      <c r="D268" s="214">
        <v>2025</v>
      </c>
      <c r="E268" s="19">
        <f t="shared" si="14"/>
        <v>0</v>
      </c>
      <c r="F268" s="19">
        <v>0</v>
      </c>
      <c r="G268" s="19">
        <v>0</v>
      </c>
      <c r="H268" s="138">
        <v>0</v>
      </c>
      <c r="I268" s="19">
        <v>0</v>
      </c>
      <c r="J268" s="19">
        <v>0</v>
      </c>
      <c r="K268" s="268"/>
      <c r="L268" s="261"/>
    </row>
    <row r="269" spans="1:12" ht="16.5" x14ac:dyDescent="0.25">
      <c r="A269" s="343"/>
      <c r="B269" s="336"/>
      <c r="C269" s="33"/>
      <c r="D269" s="103">
        <v>2026</v>
      </c>
      <c r="E269" s="19">
        <f t="shared" si="14"/>
        <v>0</v>
      </c>
      <c r="F269" s="19">
        <v>0</v>
      </c>
      <c r="G269" s="19">
        <v>0</v>
      </c>
      <c r="H269" s="138">
        <v>0</v>
      </c>
      <c r="I269" s="19">
        <v>0</v>
      </c>
      <c r="J269" s="19">
        <v>0</v>
      </c>
      <c r="K269" s="268"/>
      <c r="L269" s="261"/>
    </row>
    <row r="270" spans="1:12" ht="16.5" x14ac:dyDescent="0.25">
      <c r="A270" s="343"/>
      <c r="B270" s="336" t="s">
        <v>227</v>
      </c>
      <c r="C270" s="32">
        <v>0</v>
      </c>
      <c r="D270" s="4">
        <v>2018</v>
      </c>
      <c r="E270" s="19">
        <f t="shared" si="14"/>
        <v>0</v>
      </c>
      <c r="F270" s="19">
        <v>0</v>
      </c>
      <c r="G270" s="19">
        <v>0</v>
      </c>
      <c r="H270" s="19">
        <v>0</v>
      </c>
      <c r="I270" s="19">
        <v>0</v>
      </c>
      <c r="J270" s="19">
        <v>0</v>
      </c>
      <c r="K270" s="268"/>
      <c r="L270" s="261"/>
    </row>
    <row r="271" spans="1:12" ht="16.5" x14ac:dyDescent="0.25">
      <c r="A271" s="343"/>
      <c r="B271" s="336"/>
      <c r="C271" s="32">
        <v>0</v>
      </c>
      <c r="D271" s="4">
        <v>2019</v>
      </c>
      <c r="E271" s="19">
        <f t="shared" si="14"/>
        <v>0</v>
      </c>
      <c r="F271" s="19">
        <v>0</v>
      </c>
      <c r="G271" s="19">
        <v>0</v>
      </c>
      <c r="H271" s="19">
        <v>0</v>
      </c>
      <c r="I271" s="19">
        <v>0</v>
      </c>
      <c r="J271" s="19">
        <v>0</v>
      </c>
      <c r="K271" s="268"/>
      <c r="L271" s="261"/>
    </row>
    <row r="272" spans="1:12" ht="16.5" x14ac:dyDescent="0.25">
      <c r="A272" s="343"/>
      <c r="B272" s="336"/>
      <c r="C272" s="32">
        <v>0</v>
      </c>
      <c r="D272" s="214">
        <v>2020</v>
      </c>
      <c r="E272" s="19">
        <f t="shared" si="14"/>
        <v>0</v>
      </c>
      <c r="F272" s="23">
        <v>0</v>
      </c>
      <c r="G272" s="19">
        <v>0</v>
      </c>
      <c r="H272" s="19">
        <v>0</v>
      </c>
      <c r="I272" s="19">
        <v>0</v>
      </c>
      <c r="J272" s="19">
        <v>0</v>
      </c>
      <c r="K272" s="268"/>
      <c r="L272" s="261"/>
    </row>
    <row r="273" spans="1:12" ht="16.5" x14ac:dyDescent="0.25">
      <c r="A273" s="343"/>
      <c r="B273" s="336"/>
      <c r="C273" s="33">
        <v>0</v>
      </c>
      <c r="D273" s="214">
        <v>2021</v>
      </c>
      <c r="E273" s="19">
        <f t="shared" si="14"/>
        <v>3187.5</v>
      </c>
      <c r="F273" s="23">
        <v>0</v>
      </c>
      <c r="G273" s="19">
        <v>0</v>
      </c>
      <c r="H273" s="19">
        <v>3187.5</v>
      </c>
      <c r="I273" s="19">
        <v>0</v>
      </c>
      <c r="J273" s="19">
        <v>0</v>
      </c>
      <c r="K273" s="268"/>
      <c r="L273" s="261"/>
    </row>
    <row r="274" spans="1:12" ht="16.5" x14ac:dyDescent="0.25">
      <c r="A274" s="343"/>
      <c r="B274" s="336"/>
      <c r="C274" s="33">
        <v>0</v>
      </c>
      <c r="D274" s="214">
        <v>2022</v>
      </c>
      <c r="E274" s="19">
        <f t="shared" si="14"/>
        <v>0</v>
      </c>
      <c r="F274" s="23">
        <v>0</v>
      </c>
      <c r="G274" s="19">
        <v>0</v>
      </c>
      <c r="H274" s="19">
        <v>0</v>
      </c>
      <c r="I274" s="19">
        <v>0</v>
      </c>
      <c r="J274" s="19">
        <v>0</v>
      </c>
      <c r="K274" s="268"/>
      <c r="L274" s="261"/>
    </row>
    <row r="275" spans="1:12" ht="16.5" x14ac:dyDescent="0.25">
      <c r="A275" s="343"/>
      <c r="B275" s="336"/>
      <c r="C275" s="33">
        <v>0</v>
      </c>
      <c r="D275" s="214">
        <v>2023</v>
      </c>
      <c r="E275" s="19">
        <f t="shared" si="14"/>
        <v>0</v>
      </c>
      <c r="F275" s="23">
        <v>0</v>
      </c>
      <c r="G275" s="19">
        <v>0</v>
      </c>
      <c r="H275" s="19">
        <v>0</v>
      </c>
      <c r="I275" s="19">
        <v>0</v>
      </c>
      <c r="J275" s="19">
        <v>0</v>
      </c>
      <c r="K275" s="268"/>
      <c r="L275" s="261"/>
    </row>
    <row r="276" spans="1:12" ht="16.5" x14ac:dyDescent="0.25">
      <c r="A276" s="343"/>
      <c r="B276" s="336"/>
      <c r="C276" s="33">
        <v>0</v>
      </c>
      <c r="D276" s="214">
        <v>2024</v>
      </c>
      <c r="E276" s="19">
        <f t="shared" si="14"/>
        <v>0</v>
      </c>
      <c r="F276" s="23">
        <v>0</v>
      </c>
      <c r="G276" s="19">
        <v>0</v>
      </c>
      <c r="H276" s="19">
        <v>0</v>
      </c>
      <c r="I276" s="19">
        <v>0</v>
      </c>
      <c r="J276" s="19">
        <v>0</v>
      </c>
      <c r="K276" s="268"/>
      <c r="L276" s="261"/>
    </row>
    <row r="277" spans="1:12" ht="16.5" x14ac:dyDescent="0.25">
      <c r="A277" s="343"/>
      <c r="B277" s="336"/>
      <c r="C277" s="33">
        <v>0</v>
      </c>
      <c r="D277" s="214">
        <v>2025</v>
      </c>
      <c r="E277" s="19">
        <f t="shared" si="14"/>
        <v>0</v>
      </c>
      <c r="F277" s="23">
        <v>0</v>
      </c>
      <c r="G277" s="19">
        <v>0</v>
      </c>
      <c r="H277" s="19">
        <v>0</v>
      </c>
      <c r="I277" s="19">
        <v>0</v>
      </c>
      <c r="J277" s="19">
        <v>0</v>
      </c>
      <c r="K277" s="268"/>
      <c r="L277" s="261"/>
    </row>
    <row r="278" spans="1:12" ht="16.5" x14ac:dyDescent="0.25">
      <c r="A278" s="343"/>
      <c r="B278" s="336"/>
      <c r="C278" s="33"/>
      <c r="D278" s="103">
        <v>2026</v>
      </c>
      <c r="E278" s="19">
        <f t="shared" si="14"/>
        <v>0</v>
      </c>
      <c r="F278" s="23">
        <v>0</v>
      </c>
      <c r="G278" s="19">
        <v>0</v>
      </c>
      <c r="H278" s="19">
        <v>0</v>
      </c>
      <c r="I278" s="19">
        <v>0</v>
      </c>
      <c r="J278" s="19">
        <v>0</v>
      </c>
      <c r="K278" s="268"/>
      <c r="L278" s="261"/>
    </row>
    <row r="279" spans="1:12" ht="16.5" x14ac:dyDescent="0.25">
      <c r="A279" s="343"/>
      <c r="B279" s="336" t="s">
        <v>228</v>
      </c>
      <c r="C279" s="32">
        <v>0</v>
      </c>
      <c r="D279" s="4">
        <v>2018</v>
      </c>
      <c r="E279" s="19">
        <f t="shared" si="14"/>
        <v>0</v>
      </c>
      <c r="F279" s="19">
        <v>0</v>
      </c>
      <c r="G279" s="19">
        <v>0</v>
      </c>
      <c r="H279" s="19">
        <v>0</v>
      </c>
      <c r="I279" s="19">
        <v>0</v>
      </c>
      <c r="J279" s="19">
        <v>0</v>
      </c>
      <c r="K279" s="268"/>
      <c r="L279" s="261"/>
    </row>
    <row r="280" spans="1:12" ht="16.5" x14ac:dyDescent="0.25">
      <c r="A280" s="343"/>
      <c r="B280" s="336"/>
      <c r="C280" s="32">
        <v>0</v>
      </c>
      <c r="D280" s="4">
        <v>2019</v>
      </c>
      <c r="E280" s="19">
        <f t="shared" si="14"/>
        <v>0</v>
      </c>
      <c r="F280" s="19">
        <v>0</v>
      </c>
      <c r="G280" s="19">
        <v>0</v>
      </c>
      <c r="H280" s="19">
        <v>0</v>
      </c>
      <c r="I280" s="19">
        <v>0</v>
      </c>
      <c r="J280" s="19">
        <v>0</v>
      </c>
      <c r="K280" s="268"/>
      <c r="L280" s="261"/>
    </row>
    <row r="281" spans="1:12" ht="16.5" x14ac:dyDescent="0.25">
      <c r="A281" s="343"/>
      <c r="B281" s="336"/>
      <c r="C281" s="32">
        <v>0</v>
      </c>
      <c r="D281" s="214">
        <v>2020</v>
      </c>
      <c r="E281" s="19">
        <f t="shared" si="14"/>
        <v>0</v>
      </c>
      <c r="F281" s="23">
        <v>0</v>
      </c>
      <c r="G281" s="19">
        <v>0</v>
      </c>
      <c r="H281" s="19">
        <v>0</v>
      </c>
      <c r="I281" s="19">
        <v>0</v>
      </c>
      <c r="J281" s="19">
        <v>0</v>
      </c>
      <c r="K281" s="268"/>
      <c r="L281" s="261"/>
    </row>
    <row r="282" spans="1:12" ht="16.5" x14ac:dyDescent="0.25">
      <c r="A282" s="343"/>
      <c r="B282" s="336"/>
      <c r="C282" s="33">
        <v>0</v>
      </c>
      <c r="D282" s="214">
        <v>2021</v>
      </c>
      <c r="E282" s="19">
        <f t="shared" si="14"/>
        <v>2687.3</v>
      </c>
      <c r="F282" s="23">
        <v>0</v>
      </c>
      <c r="G282" s="19">
        <v>0</v>
      </c>
      <c r="H282" s="19">
        <v>2687.3</v>
      </c>
      <c r="I282" s="19">
        <v>0</v>
      </c>
      <c r="J282" s="19">
        <v>0</v>
      </c>
      <c r="K282" s="268"/>
      <c r="L282" s="261"/>
    </row>
    <row r="283" spans="1:12" ht="16.5" x14ac:dyDescent="0.25">
      <c r="A283" s="343"/>
      <c r="B283" s="336"/>
      <c r="C283" s="33">
        <v>0</v>
      </c>
      <c r="D283" s="214">
        <v>2022</v>
      </c>
      <c r="E283" s="19">
        <f t="shared" si="14"/>
        <v>1794.8</v>
      </c>
      <c r="F283" s="23">
        <v>0</v>
      </c>
      <c r="G283" s="19">
        <v>0</v>
      </c>
      <c r="H283" s="19">
        <v>1794.8</v>
      </c>
      <c r="I283" s="19">
        <v>0</v>
      </c>
      <c r="J283" s="19">
        <v>0</v>
      </c>
      <c r="K283" s="268"/>
      <c r="L283" s="261"/>
    </row>
    <row r="284" spans="1:12" ht="16.5" x14ac:dyDescent="0.25">
      <c r="A284" s="343"/>
      <c r="B284" s="336"/>
      <c r="C284" s="33">
        <v>0</v>
      </c>
      <c r="D284" s="214">
        <v>2023</v>
      </c>
      <c r="E284" s="19">
        <f t="shared" si="14"/>
        <v>1794.8</v>
      </c>
      <c r="F284" s="23">
        <v>0</v>
      </c>
      <c r="G284" s="19">
        <v>0</v>
      </c>
      <c r="H284" s="19">
        <v>1794.8</v>
      </c>
      <c r="I284" s="19">
        <v>0</v>
      </c>
      <c r="J284" s="19">
        <v>0</v>
      </c>
      <c r="K284" s="268"/>
      <c r="L284" s="261"/>
    </row>
    <row r="285" spans="1:12" ht="16.5" x14ac:dyDescent="0.25">
      <c r="A285" s="343"/>
      <c r="B285" s="336"/>
      <c r="C285" s="33">
        <v>0</v>
      </c>
      <c r="D285" s="214">
        <v>2024</v>
      </c>
      <c r="E285" s="19">
        <f t="shared" si="14"/>
        <v>1866.6</v>
      </c>
      <c r="F285" s="23">
        <v>0</v>
      </c>
      <c r="G285" s="19">
        <v>0</v>
      </c>
      <c r="H285" s="178">
        <f>1866.6</f>
        <v>1866.6</v>
      </c>
      <c r="I285" s="19">
        <v>0</v>
      </c>
      <c r="J285" s="19">
        <v>0</v>
      </c>
      <c r="K285" s="268"/>
      <c r="L285" s="261"/>
    </row>
    <row r="286" spans="1:12" ht="16.5" x14ac:dyDescent="0.25">
      <c r="A286" s="343"/>
      <c r="B286" s="336"/>
      <c r="C286" s="33">
        <v>0</v>
      </c>
      <c r="D286" s="214">
        <v>2025</v>
      </c>
      <c r="E286" s="19">
        <f t="shared" si="14"/>
        <v>1866.6</v>
      </c>
      <c r="F286" s="23">
        <v>0</v>
      </c>
      <c r="G286" s="19">
        <v>0</v>
      </c>
      <c r="H286" s="138">
        <f>1866.6</f>
        <v>1866.6</v>
      </c>
      <c r="I286" s="19">
        <v>0</v>
      </c>
      <c r="J286" s="19">
        <v>0</v>
      </c>
      <c r="K286" s="268"/>
      <c r="L286" s="261"/>
    </row>
    <row r="287" spans="1:12" ht="16.5" x14ac:dyDescent="0.25">
      <c r="A287" s="343"/>
      <c r="B287" s="336"/>
      <c r="C287" s="33"/>
      <c r="D287" s="103">
        <v>2026</v>
      </c>
      <c r="E287" s="19">
        <f t="shared" si="14"/>
        <v>1866</v>
      </c>
      <c r="F287" s="23">
        <v>0</v>
      </c>
      <c r="G287" s="19">
        <v>0</v>
      </c>
      <c r="H287" s="138">
        <f>1866</f>
        <v>1866</v>
      </c>
      <c r="I287" s="19">
        <v>0</v>
      </c>
      <c r="J287" s="19">
        <v>0</v>
      </c>
      <c r="K287" s="268"/>
      <c r="L287" s="261"/>
    </row>
    <row r="288" spans="1:12" ht="16.5" x14ac:dyDescent="0.25">
      <c r="A288" s="343"/>
      <c r="B288" s="336" t="s">
        <v>326</v>
      </c>
      <c r="C288" s="32">
        <v>0</v>
      </c>
      <c r="D288" s="4">
        <v>2018</v>
      </c>
      <c r="E288" s="19">
        <f t="shared" si="14"/>
        <v>0</v>
      </c>
      <c r="F288" s="19">
        <v>0</v>
      </c>
      <c r="G288" s="19">
        <v>0</v>
      </c>
      <c r="H288" s="19">
        <v>0</v>
      </c>
      <c r="I288" s="19">
        <v>0</v>
      </c>
      <c r="J288" s="19">
        <v>0</v>
      </c>
      <c r="K288" s="268"/>
      <c r="L288" s="261" t="s">
        <v>72</v>
      </c>
    </row>
    <row r="289" spans="1:12" ht="16.5" x14ac:dyDescent="0.25">
      <c r="A289" s="343"/>
      <c r="B289" s="336"/>
      <c r="C289" s="32">
        <v>0</v>
      </c>
      <c r="D289" s="4">
        <v>2019</v>
      </c>
      <c r="E289" s="19">
        <f t="shared" si="14"/>
        <v>0</v>
      </c>
      <c r="F289" s="19">
        <v>0</v>
      </c>
      <c r="G289" s="19">
        <v>0</v>
      </c>
      <c r="H289" s="19">
        <v>0</v>
      </c>
      <c r="I289" s="19">
        <v>0</v>
      </c>
      <c r="J289" s="19">
        <v>0</v>
      </c>
      <c r="K289" s="268"/>
      <c r="L289" s="261"/>
    </row>
    <row r="290" spans="1:12" ht="16.5" x14ac:dyDescent="0.25">
      <c r="A290" s="343"/>
      <c r="B290" s="336"/>
      <c r="C290" s="32">
        <v>0</v>
      </c>
      <c r="D290" s="214">
        <v>2020</v>
      </c>
      <c r="E290" s="19">
        <f t="shared" si="14"/>
        <v>4.8</v>
      </c>
      <c r="F290" s="23">
        <v>0</v>
      </c>
      <c r="G290" s="19">
        <v>0</v>
      </c>
      <c r="H290" s="19">
        <v>4.8</v>
      </c>
      <c r="I290" s="19">
        <v>0</v>
      </c>
      <c r="J290" s="19">
        <v>0</v>
      </c>
      <c r="K290" s="268"/>
      <c r="L290" s="261"/>
    </row>
    <row r="291" spans="1:12" ht="16.5" x14ac:dyDescent="0.25">
      <c r="A291" s="343"/>
      <c r="B291" s="336"/>
      <c r="C291" s="33">
        <v>0</v>
      </c>
      <c r="D291" s="214">
        <v>2021</v>
      </c>
      <c r="E291" s="19">
        <f t="shared" si="14"/>
        <v>57.6</v>
      </c>
      <c r="F291" s="23">
        <v>0</v>
      </c>
      <c r="G291" s="19">
        <v>0</v>
      </c>
      <c r="H291" s="19">
        <v>57.6</v>
      </c>
      <c r="I291" s="19">
        <v>0</v>
      </c>
      <c r="J291" s="19">
        <v>0</v>
      </c>
      <c r="K291" s="268"/>
      <c r="L291" s="261"/>
    </row>
    <row r="292" spans="1:12" ht="16.5" x14ac:dyDescent="0.25">
      <c r="A292" s="343"/>
      <c r="B292" s="336"/>
      <c r="C292" s="33">
        <v>0</v>
      </c>
      <c r="D292" s="214">
        <v>2022</v>
      </c>
      <c r="E292" s="19">
        <f t="shared" si="14"/>
        <v>50</v>
      </c>
      <c r="F292" s="23">
        <v>0</v>
      </c>
      <c r="G292" s="19">
        <v>0</v>
      </c>
      <c r="H292" s="19">
        <v>50</v>
      </c>
      <c r="I292" s="19">
        <v>0</v>
      </c>
      <c r="J292" s="19">
        <v>0</v>
      </c>
      <c r="K292" s="268"/>
      <c r="L292" s="261"/>
    </row>
    <row r="293" spans="1:12" ht="16.5" x14ac:dyDescent="0.25">
      <c r="A293" s="343"/>
      <c r="B293" s="336"/>
      <c r="C293" s="33">
        <v>0</v>
      </c>
      <c r="D293" s="214">
        <v>2023</v>
      </c>
      <c r="E293" s="19">
        <f t="shared" si="14"/>
        <v>920.4</v>
      </c>
      <c r="F293" s="23">
        <v>0</v>
      </c>
      <c r="G293" s="19">
        <v>0</v>
      </c>
      <c r="H293" s="19">
        <f>50+870.4</f>
        <v>920.4</v>
      </c>
      <c r="I293" s="19">
        <v>0</v>
      </c>
      <c r="J293" s="19">
        <v>0</v>
      </c>
      <c r="K293" s="268"/>
      <c r="L293" s="261"/>
    </row>
    <row r="294" spans="1:12" ht="16.5" x14ac:dyDescent="0.25">
      <c r="A294" s="343"/>
      <c r="B294" s="336"/>
      <c r="C294" s="33">
        <v>0</v>
      </c>
      <c r="D294" s="214">
        <v>2024</v>
      </c>
      <c r="E294" s="19">
        <f t="shared" si="14"/>
        <v>920.4</v>
      </c>
      <c r="F294" s="23">
        <v>0</v>
      </c>
      <c r="G294" s="19">
        <v>0</v>
      </c>
      <c r="H294" s="178">
        <v>920.4</v>
      </c>
      <c r="I294" s="19">
        <v>0</v>
      </c>
      <c r="J294" s="19">
        <v>0</v>
      </c>
      <c r="K294" s="268"/>
      <c r="L294" s="261"/>
    </row>
    <row r="295" spans="1:12" ht="16.5" x14ac:dyDescent="0.25">
      <c r="A295" s="343"/>
      <c r="B295" s="336"/>
      <c r="C295" s="33">
        <v>0</v>
      </c>
      <c r="D295" s="214">
        <v>2025</v>
      </c>
      <c r="E295" s="19">
        <f t="shared" si="14"/>
        <v>0</v>
      </c>
      <c r="F295" s="23">
        <v>0</v>
      </c>
      <c r="G295" s="19">
        <v>0</v>
      </c>
      <c r="H295" s="138">
        <v>0</v>
      </c>
      <c r="I295" s="19">
        <v>0</v>
      </c>
      <c r="J295" s="19">
        <v>0</v>
      </c>
      <c r="K295" s="268"/>
      <c r="L295" s="261"/>
    </row>
    <row r="296" spans="1:12" ht="17.25" thickBot="1" x14ac:dyDescent="0.3">
      <c r="A296" s="344"/>
      <c r="B296" s="337"/>
      <c r="C296" s="34"/>
      <c r="D296" s="118">
        <v>2026</v>
      </c>
      <c r="E296" s="22">
        <f t="shared" si="14"/>
        <v>0</v>
      </c>
      <c r="F296" s="24">
        <v>0</v>
      </c>
      <c r="G296" s="22">
        <v>0</v>
      </c>
      <c r="H296" s="139">
        <v>0</v>
      </c>
      <c r="I296" s="22">
        <v>0</v>
      </c>
      <c r="J296" s="22">
        <v>0</v>
      </c>
      <c r="K296" s="269"/>
      <c r="L296" s="262"/>
    </row>
    <row r="297" spans="1:12" ht="16.5" x14ac:dyDescent="0.25">
      <c r="A297" s="342" t="s">
        <v>68</v>
      </c>
      <c r="B297" s="338" t="s">
        <v>69</v>
      </c>
      <c r="C297" s="31">
        <v>0</v>
      </c>
      <c r="D297" s="5">
        <v>2018</v>
      </c>
      <c r="E297" s="21">
        <f t="shared" si="14"/>
        <v>946</v>
      </c>
      <c r="F297" s="21">
        <v>0</v>
      </c>
      <c r="G297" s="21">
        <v>946</v>
      </c>
      <c r="H297" s="21">
        <v>0</v>
      </c>
      <c r="I297" s="21">
        <v>0</v>
      </c>
      <c r="J297" s="21">
        <v>0</v>
      </c>
      <c r="K297" s="267" t="s">
        <v>70</v>
      </c>
      <c r="L297" s="260" t="s">
        <v>71</v>
      </c>
    </row>
    <row r="298" spans="1:12" ht="16.5" x14ac:dyDescent="0.25">
      <c r="A298" s="343"/>
      <c r="B298" s="336"/>
      <c r="C298" s="32">
        <v>0</v>
      </c>
      <c r="D298" s="4">
        <v>2019</v>
      </c>
      <c r="E298" s="19">
        <f t="shared" si="14"/>
        <v>1486.4</v>
      </c>
      <c r="F298" s="19">
        <v>0</v>
      </c>
      <c r="G298" s="19">
        <v>1486.4</v>
      </c>
      <c r="H298" s="19">
        <v>0</v>
      </c>
      <c r="I298" s="19">
        <v>0</v>
      </c>
      <c r="J298" s="19">
        <v>0</v>
      </c>
      <c r="K298" s="268"/>
      <c r="L298" s="261"/>
    </row>
    <row r="299" spans="1:12" ht="16.5" x14ac:dyDescent="0.25">
      <c r="A299" s="343"/>
      <c r="B299" s="336"/>
      <c r="C299" s="32">
        <v>0</v>
      </c>
      <c r="D299" s="214">
        <v>2020</v>
      </c>
      <c r="E299" s="19">
        <f t="shared" si="14"/>
        <v>0</v>
      </c>
      <c r="F299" s="23">
        <v>0</v>
      </c>
      <c r="G299" s="19">
        <v>0</v>
      </c>
      <c r="H299" s="19">
        <v>0</v>
      </c>
      <c r="I299" s="19">
        <v>0</v>
      </c>
      <c r="J299" s="19">
        <v>0</v>
      </c>
      <c r="K299" s="268"/>
      <c r="L299" s="261"/>
    </row>
    <row r="300" spans="1:12" ht="16.5" x14ac:dyDescent="0.25">
      <c r="A300" s="343"/>
      <c r="B300" s="336"/>
      <c r="C300" s="33">
        <v>0</v>
      </c>
      <c r="D300" s="214">
        <v>2021</v>
      </c>
      <c r="E300" s="19">
        <f t="shared" si="14"/>
        <v>0</v>
      </c>
      <c r="F300" s="23">
        <v>0</v>
      </c>
      <c r="G300" s="19">
        <v>0</v>
      </c>
      <c r="H300" s="19">
        <v>0</v>
      </c>
      <c r="I300" s="19">
        <v>0</v>
      </c>
      <c r="J300" s="19">
        <v>0</v>
      </c>
      <c r="K300" s="268"/>
      <c r="L300" s="261"/>
    </row>
    <row r="301" spans="1:12" ht="16.5" x14ac:dyDescent="0.25">
      <c r="A301" s="343"/>
      <c r="B301" s="336"/>
      <c r="C301" s="33">
        <v>0</v>
      </c>
      <c r="D301" s="214">
        <v>2022</v>
      </c>
      <c r="E301" s="19">
        <f t="shared" si="14"/>
        <v>0</v>
      </c>
      <c r="F301" s="23">
        <v>0</v>
      </c>
      <c r="G301" s="19">
        <v>0</v>
      </c>
      <c r="H301" s="19">
        <v>0</v>
      </c>
      <c r="I301" s="19">
        <v>0</v>
      </c>
      <c r="J301" s="19">
        <v>0</v>
      </c>
      <c r="K301" s="268"/>
      <c r="L301" s="261"/>
    </row>
    <row r="302" spans="1:12" ht="16.5" x14ac:dyDescent="0.25">
      <c r="A302" s="343"/>
      <c r="B302" s="336"/>
      <c r="C302" s="33">
        <v>0</v>
      </c>
      <c r="D302" s="214">
        <v>2023</v>
      </c>
      <c r="E302" s="19">
        <f t="shared" si="14"/>
        <v>0</v>
      </c>
      <c r="F302" s="23">
        <v>0</v>
      </c>
      <c r="G302" s="19">
        <v>0</v>
      </c>
      <c r="H302" s="19">
        <v>0</v>
      </c>
      <c r="I302" s="19">
        <v>0</v>
      </c>
      <c r="J302" s="19">
        <v>0</v>
      </c>
      <c r="K302" s="268"/>
      <c r="L302" s="261"/>
    </row>
    <row r="303" spans="1:12" ht="16.5" x14ac:dyDescent="0.25">
      <c r="A303" s="343"/>
      <c r="B303" s="336"/>
      <c r="C303" s="33">
        <v>0</v>
      </c>
      <c r="D303" s="214">
        <v>2024</v>
      </c>
      <c r="E303" s="19">
        <f t="shared" si="14"/>
        <v>0</v>
      </c>
      <c r="F303" s="23">
        <v>0</v>
      </c>
      <c r="G303" s="19">
        <v>0</v>
      </c>
      <c r="H303" s="19">
        <v>0</v>
      </c>
      <c r="I303" s="19">
        <v>0</v>
      </c>
      <c r="J303" s="19">
        <v>0</v>
      </c>
      <c r="K303" s="268"/>
      <c r="L303" s="261"/>
    </row>
    <row r="304" spans="1:12" ht="17.25" thickBot="1" x14ac:dyDescent="0.3">
      <c r="A304" s="343"/>
      <c r="B304" s="336"/>
      <c r="C304" s="48">
        <v>0</v>
      </c>
      <c r="D304" s="218">
        <v>2025</v>
      </c>
      <c r="E304" s="20">
        <f t="shared" si="14"/>
        <v>0</v>
      </c>
      <c r="F304" s="25">
        <v>0</v>
      </c>
      <c r="G304" s="20">
        <v>0</v>
      </c>
      <c r="H304" s="20">
        <v>0</v>
      </c>
      <c r="I304" s="20">
        <v>0</v>
      </c>
      <c r="J304" s="20">
        <v>0</v>
      </c>
      <c r="K304" s="268"/>
      <c r="L304" s="261"/>
    </row>
    <row r="305" spans="1:12" s="131" customFormat="1" ht="17.25" thickBot="1" x14ac:dyDescent="0.3">
      <c r="A305" s="344"/>
      <c r="B305" s="337"/>
      <c r="C305" s="181"/>
      <c r="D305" s="182">
        <v>2026</v>
      </c>
      <c r="E305" s="150">
        <f t="shared" si="14"/>
        <v>0</v>
      </c>
      <c r="F305" s="183">
        <v>0</v>
      </c>
      <c r="G305" s="150">
        <v>0</v>
      </c>
      <c r="H305" s="150">
        <v>0</v>
      </c>
      <c r="I305" s="150">
        <v>0</v>
      </c>
      <c r="J305" s="150">
        <v>0</v>
      </c>
      <c r="K305" s="269"/>
      <c r="L305" s="262"/>
    </row>
    <row r="306" spans="1:12" s="68" customFormat="1" ht="17.25" thickBot="1" x14ac:dyDescent="0.3">
      <c r="A306" s="40">
        <v>1</v>
      </c>
      <c r="B306" s="15">
        <v>2</v>
      </c>
      <c r="C306" s="15"/>
      <c r="D306" s="15">
        <v>3</v>
      </c>
      <c r="E306" s="15">
        <v>4</v>
      </c>
      <c r="F306" s="15">
        <v>5</v>
      </c>
      <c r="G306" s="15">
        <v>6</v>
      </c>
      <c r="H306" s="15">
        <v>7</v>
      </c>
      <c r="I306" s="15">
        <v>8</v>
      </c>
      <c r="J306" s="15">
        <v>9</v>
      </c>
      <c r="K306" s="134">
        <v>10</v>
      </c>
      <c r="L306" s="134">
        <v>11</v>
      </c>
    </row>
    <row r="307" spans="1:12" ht="16.5" x14ac:dyDescent="0.25">
      <c r="A307" s="342" t="s">
        <v>73</v>
      </c>
      <c r="B307" s="338" t="s">
        <v>74</v>
      </c>
      <c r="C307" s="266" t="e">
        <f>#REF!+#REF!+#REF!+#REF!+#REF!+#REF!+#REF!+#REF!</f>
        <v>#REF!</v>
      </c>
      <c r="D307" s="5">
        <v>2018</v>
      </c>
      <c r="E307" s="21">
        <f t="shared" si="14"/>
        <v>0</v>
      </c>
      <c r="F307" s="21">
        <v>0</v>
      </c>
      <c r="G307" s="21">
        <v>0</v>
      </c>
      <c r="H307" s="21">
        <v>0</v>
      </c>
      <c r="I307" s="21">
        <v>0</v>
      </c>
      <c r="J307" s="21">
        <v>0</v>
      </c>
      <c r="K307" s="267" t="s">
        <v>70</v>
      </c>
      <c r="L307" s="260" t="s">
        <v>71</v>
      </c>
    </row>
    <row r="308" spans="1:12" ht="16.5" x14ac:dyDescent="0.25">
      <c r="A308" s="343"/>
      <c r="B308" s="336"/>
      <c r="C308" s="265"/>
      <c r="D308" s="4">
        <v>2019</v>
      </c>
      <c r="E308" s="19">
        <f t="shared" si="14"/>
        <v>0</v>
      </c>
      <c r="F308" s="19">
        <v>0</v>
      </c>
      <c r="G308" s="19">
        <v>0</v>
      </c>
      <c r="H308" s="19">
        <v>0</v>
      </c>
      <c r="I308" s="19">
        <v>0</v>
      </c>
      <c r="J308" s="19">
        <v>0</v>
      </c>
      <c r="K308" s="268"/>
      <c r="L308" s="261"/>
    </row>
    <row r="309" spans="1:12" ht="16.5" x14ac:dyDescent="0.25">
      <c r="A309" s="343"/>
      <c r="B309" s="336"/>
      <c r="C309" s="265"/>
      <c r="D309" s="214">
        <v>2020</v>
      </c>
      <c r="E309" s="19">
        <f t="shared" si="14"/>
        <v>1570</v>
      </c>
      <c r="F309" s="23">
        <v>0</v>
      </c>
      <c r="G309" s="19">
        <v>1570</v>
      </c>
      <c r="H309" s="19">
        <v>0</v>
      </c>
      <c r="I309" s="19">
        <v>0</v>
      </c>
      <c r="J309" s="19">
        <v>0</v>
      </c>
      <c r="K309" s="268"/>
      <c r="L309" s="261"/>
    </row>
    <row r="310" spans="1:12" ht="16.5" x14ac:dyDescent="0.25">
      <c r="A310" s="343"/>
      <c r="B310" s="336"/>
      <c r="C310" s="265"/>
      <c r="D310" s="214">
        <v>2021</v>
      </c>
      <c r="E310" s="19">
        <f t="shared" si="14"/>
        <v>1527.3</v>
      </c>
      <c r="F310" s="23">
        <v>0</v>
      </c>
      <c r="G310" s="19">
        <v>1527.3</v>
      </c>
      <c r="H310" s="19">
        <v>0</v>
      </c>
      <c r="I310" s="19">
        <v>0</v>
      </c>
      <c r="J310" s="19">
        <v>0</v>
      </c>
      <c r="K310" s="268"/>
      <c r="L310" s="261"/>
    </row>
    <row r="311" spans="1:12" ht="16.5" x14ac:dyDescent="0.25">
      <c r="A311" s="343"/>
      <c r="B311" s="336"/>
      <c r="C311" s="265"/>
      <c r="D311" s="214">
        <v>2022</v>
      </c>
      <c r="E311" s="19">
        <f t="shared" si="14"/>
        <v>1567.1</v>
      </c>
      <c r="F311" s="23">
        <v>0</v>
      </c>
      <c r="G311" s="19">
        <v>1567.1</v>
      </c>
      <c r="H311" s="19">
        <v>0</v>
      </c>
      <c r="I311" s="19">
        <v>0</v>
      </c>
      <c r="J311" s="19">
        <v>0</v>
      </c>
      <c r="K311" s="268"/>
      <c r="L311" s="261"/>
    </row>
    <row r="312" spans="1:12" ht="16.5" x14ac:dyDescent="0.25">
      <c r="A312" s="343"/>
      <c r="B312" s="336"/>
      <c r="C312" s="265"/>
      <c r="D312" s="214">
        <v>2023</v>
      </c>
      <c r="E312" s="19">
        <f t="shared" si="14"/>
        <v>1729.2</v>
      </c>
      <c r="F312" s="23">
        <v>0</v>
      </c>
      <c r="G312" s="19">
        <v>1729.2</v>
      </c>
      <c r="H312" s="19">
        <v>0</v>
      </c>
      <c r="I312" s="19">
        <v>0</v>
      </c>
      <c r="J312" s="19">
        <v>0</v>
      </c>
      <c r="K312" s="268"/>
      <c r="L312" s="261"/>
    </row>
    <row r="313" spans="1:12" ht="16.5" x14ac:dyDescent="0.25">
      <c r="A313" s="343"/>
      <c r="B313" s="336"/>
      <c r="C313" s="265"/>
      <c r="D313" s="214">
        <v>2024</v>
      </c>
      <c r="E313" s="19">
        <f t="shared" si="14"/>
        <v>1872.4</v>
      </c>
      <c r="F313" s="23">
        <v>0</v>
      </c>
      <c r="G313" s="19">
        <f>1872.4</f>
        <v>1872.4</v>
      </c>
      <c r="H313" s="19">
        <v>0</v>
      </c>
      <c r="I313" s="19">
        <v>0</v>
      </c>
      <c r="J313" s="19">
        <v>0</v>
      </c>
      <c r="K313" s="268"/>
      <c r="L313" s="261"/>
    </row>
    <row r="314" spans="1:12" ht="16.5" x14ac:dyDescent="0.25">
      <c r="A314" s="343"/>
      <c r="B314" s="336"/>
      <c r="C314" s="265"/>
      <c r="D314" s="214">
        <v>2025</v>
      </c>
      <c r="E314" s="19">
        <f t="shared" si="14"/>
        <v>1872.6</v>
      </c>
      <c r="F314" s="23">
        <v>0</v>
      </c>
      <c r="G314" s="19">
        <f>1872.6</f>
        <v>1872.6</v>
      </c>
      <c r="H314" s="19">
        <v>0</v>
      </c>
      <c r="I314" s="19">
        <v>0</v>
      </c>
      <c r="J314" s="19">
        <v>0</v>
      </c>
      <c r="K314" s="268"/>
      <c r="L314" s="261"/>
    </row>
    <row r="315" spans="1:12" ht="17.25" thickBot="1" x14ac:dyDescent="0.3">
      <c r="A315" s="344"/>
      <c r="B315" s="337"/>
      <c r="C315" s="226"/>
      <c r="D315" s="118">
        <v>2026</v>
      </c>
      <c r="E315" s="22">
        <f t="shared" si="14"/>
        <v>1863.6</v>
      </c>
      <c r="F315" s="24">
        <v>0</v>
      </c>
      <c r="G315" s="22">
        <f>1863.6</f>
        <v>1863.6</v>
      </c>
      <c r="H315" s="22">
        <v>0</v>
      </c>
      <c r="I315" s="22">
        <v>0</v>
      </c>
      <c r="J315" s="22">
        <v>0</v>
      </c>
      <c r="K315" s="269"/>
      <c r="L315" s="262"/>
    </row>
    <row r="316" spans="1:12" ht="16.5" x14ac:dyDescent="0.25">
      <c r="A316" s="342" t="s">
        <v>75</v>
      </c>
      <c r="B316" s="338" t="s">
        <v>76</v>
      </c>
      <c r="C316" s="266" t="e">
        <f>#REF!+#REF!+#REF!+#REF!+#REF!+#REF!+#REF!+#REF!</f>
        <v>#REF!</v>
      </c>
      <c r="D316" s="5">
        <v>2018</v>
      </c>
      <c r="E316" s="21">
        <f t="shared" si="14"/>
        <v>11979.5</v>
      </c>
      <c r="F316" s="21">
        <v>0</v>
      </c>
      <c r="G316" s="21">
        <v>11979.5</v>
      </c>
      <c r="H316" s="21">
        <v>0</v>
      </c>
      <c r="I316" s="21">
        <v>0</v>
      </c>
      <c r="J316" s="21">
        <v>0</v>
      </c>
      <c r="K316" s="267" t="s">
        <v>77</v>
      </c>
      <c r="L316" s="260" t="s">
        <v>12</v>
      </c>
    </row>
    <row r="317" spans="1:12" ht="16.5" x14ac:dyDescent="0.25">
      <c r="A317" s="343"/>
      <c r="B317" s="336"/>
      <c r="C317" s="265"/>
      <c r="D317" s="4">
        <v>2019</v>
      </c>
      <c r="E317" s="19">
        <f t="shared" si="14"/>
        <v>12072.5</v>
      </c>
      <c r="F317" s="19">
        <v>0</v>
      </c>
      <c r="G317" s="19">
        <v>12072.5</v>
      </c>
      <c r="H317" s="19">
        <v>0</v>
      </c>
      <c r="I317" s="19">
        <v>0</v>
      </c>
      <c r="J317" s="19">
        <v>0</v>
      </c>
      <c r="K317" s="268"/>
      <c r="L317" s="261"/>
    </row>
    <row r="318" spans="1:12" ht="16.5" x14ac:dyDescent="0.25">
      <c r="A318" s="343"/>
      <c r="B318" s="336"/>
      <c r="C318" s="265"/>
      <c r="D318" s="214">
        <v>2020</v>
      </c>
      <c r="E318" s="19">
        <f t="shared" si="14"/>
        <v>11906.2</v>
      </c>
      <c r="F318" s="23">
        <v>0</v>
      </c>
      <c r="G318" s="19">
        <v>11906.2</v>
      </c>
      <c r="H318" s="19">
        <v>0</v>
      </c>
      <c r="I318" s="19">
        <v>0</v>
      </c>
      <c r="J318" s="19">
        <v>0</v>
      </c>
      <c r="K318" s="268"/>
      <c r="L318" s="261"/>
    </row>
    <row r="319" spans="1:12" ht="16.5" x14ac:dyDescent="0.25">
      <c r="A319" s="343"/>
      <c r="B319" s="336"/>
      <c r="C319" s="265"/>
      <c r="D319" s="214">
        <v>2021</v>
      </c>
      <c r="E319" s="19">
        <f t="shared" si="14"/>
        <v>15891.7</v>
      </c>
      <c r="F319" s="23">
        <v>0</v>
      </c>
      <c r="G319" s="19">
        <v>15891.7</v>
      </c>
      <c r="H319" s="19">
        <v>0</v>
      </c>
      <c r="I319" s="19">
        <v>0</v>
      </c>
      <c r="J319" s="19">
        <v>0</v>
      </c>
      <c r="K319" s="268"/>
      <c r="L319" s="261"/>
    </row>
    <row r="320" spans="1:12" ht="16.5" x14ac:dyDescent="0.25">
      <c r="A320" s="343"/>
      <c r="B320" s="336"/>
      <c r="C320" s="265"/>
      <c r="D320" s="214">
        <v>2022</v>
      </c>
      <c r="E320" s="19">
        <f t="shared" si="14"/>
        <v>20605.099999999999</v>
      </c>
      <c r="F320" s="23">
        <v>0</v>
      </c>
      <c r="G320" s="19">
        <f>11862.2+2140.5+1002.4+2500+3000+100</f>
        <v>20605.099999999999</v>
      </c>
      <c r="H320" s="19">
        <v>0</v>
      </c>
      <c r="I320" s="19">
        <v>0</v>
      </c>
      <c r="J320" s="19">
        <v>0</v>
      </c>
      <c r="K320" s="268"/>
      <c r="L320" s="261"/>
    </row>
    <row r="321" spans="1:12" ht="16.5" x14ac:dyDescent="0.25">
      <c r="A321" s="343"/>
      <c r="B321" s="336"/>
      <c r="C321" s="265"/>
      <c r="D321" s="214">
        <v>2023</v>
      </c>
      <c r="E321" s="19">
        <f t="shared" si="14"/>
        <v>18631.5</v>
      </c>
      <c r="F321" s="23">
        <v>0</v>
      </c>
      <c r="G321" s="19">
        <f>11781.5+3200+3500+100+50</f>
        <v>18631.5</v>
      </c>
      <c r="H321" s="19">
        <v>0</v>
      </c>
      <c r="I321" s="19">
        <v>0</v>
      </c>
      <c r="J321" s="19">
        <v>0</v>
      </c>
      <c r="K321" s="268"/>
      <c r="L321" s="261"/>
    </row>
    <row r="322" spans="1:12" ht="16.5" x14ac:dyDescent="0.25">
      <c r="A322" s="343"/>
      <c r="B322" s="336"/>
      <c r="C322" s="265"/>
      <c r="D322" s="214">
        <v>2024</v>
      </c>
      <c r="E322" s="19">
        <f t="shared" si="14"/>
        <v>11750.3</v>
      </c>
      <c r="F322" s="23">
        <v>0</v>
      </c>
      <c r="G322" s="19">
        <f>11750.3</f>
        <v>11750.3</v>
      </c>
      <c r="H322" s="19">
        <v>0</v>
      </c>
      <c r="I322" s="19">
        <v>0</v>
      </c>
      <c r="J322" s="19">
        <v>0</v>
      </c>
      <c r="K322" s="268"/>
      <c r="L322" s="261"/>
    </row>
    <row r="323" spans="1:12" ht="16.5" x14ac:dyDescent="0.25">
      <c r="A323" s="343"/>
      <c r="B323" s="336"/>
      <c r="C323" s="265"/>
      <c r="D323" s="214">
        <v>2025</v>
      </c>
      <c r="E323" s="19">
        <f t="shared" si="14"/>
        <v>12709.7</v>
      </c>
      <c r="F323" s="23">
        <v>0</v>
      </c>
      <c r="G323" s="19">
        <f>12709.7</f>
        <v>12709.7</v>
      </c>
      <c r="H323" s="19">
        <v>0</v>
      </c>
      <c r="I323" s="19">
        <v>0</v>
      </c>
      <c r="J323" s="19">
        <v>0</v>
      </c>
      <c r="K323" s="268"/>
      <c r="L323" s="261"/>
    </row>
    <row r="324" spans="1:12" ht="17.25" thickBot="1" x14ac:dyDescent="0.3">
      <c r="A324" s="344"/>
      <c r="B324" s="337"/>
      <c r="C324" s="226"/>
      <c r="D324" s="118">
        <v>2026</v>
      </c>
      <c r="E324" s="22">
        <f t="shared" si="14"/>
        <v>13218.1</v>
      </c>
      <c r="F324" s="24">
        <v>0</v>
      </c>
      <c r="G324" s="22">
        <f>13218.1</f>
        <v>13218.1</v>
      </c>
      <c r="H324" s="22">
        <v>0</v>
      </c>
      <c r="I324" s="22">
        <v>0</v>
      </c>
      <c r="J324" s="22">
        <v>0</v>
      </c>
      <c r="K324" s="269"/>
      <c r="L324" s="262"/>
    </row>
    <row r="325" spans="1:12" ht="16.5" x14ac:dyDescent="0.25">
      <c r="A325" s="342" t="s">
        <v>78</v>
      </c>
      <c r="B325" s="338" t="s">
        <v>79</v>
      </c>
      <c r="C325" s="266" t="e">
        <f>#REF!+#REF!+#REF!+#REF!+#REF!+#REF!+#REF!+#REF!</f>
        <v>#REF!</v>
      </c>
      <c r="D325" s="5">
        <v>2018</v>
      </c>
      <c r="E325" s="21">
        <f t="shared" si="14"/>
        <v>11131.2</v>
      </c>
      <c r="F325" s="21">
        <v>0</v>
      </c>
      <c r="G325" s="21">
        <v>11131.2</v>
      </c>
      <c r="H325" s="21">
        <v>0</v>
      </c>
      <c r="I325" s="21">
        <v>0</v>
      </c>
      <c r="J325" s="21">
        <v>0</v>
      </c>
      <c r="K325" s="267" t="s">
        <v>80</v>
      </c>
      <c r="L325" s="260" t="s">
        <v>71</v>
      </c>
    </row>
    <row r="326" spans="1:12" ht="16.5" x14ac:dyDescent="0.25">
      <c r="A326" s="343"/>
      <c r="B326" s="336"/>
      <c r="C326" s="265"/>
      <c r="D326" s="4">
        <v>2019</v>
      </c>
      <c r="E326" s="19">
        <f t="shared" ref="E326:E398" si="16">F326+G326+H326+J326</f>
        <v>11898</v>
      </c>
      <c r="F326" s="19">
        <v>0</v>
      </c>
      <c r="G326" s="19">
        <v>11898</v>
      </c>
      <c r="H326" s="19">
        <v>0</v>
      </c>
      <c r="I326" s="19">
        <v>0</v>
      </c>
      <c r="J326" s="19">
        <v>0</v>
      </c>
      <c r="K326" s="268"/>
      <c r="L326" s="261"/>
    </row>
    <row r="327" spans="1:12" ht="16.5" x14ac:dyDescent="0.25">
      <c r="A327" s="343"/>
      <c r="B327" s="336"/>
      <c r="C327" s="265"/>
      <c r="D327" s="214">
        <v>2020</v>
      </c>
      <c r="E327" s="19">
        <f t="shared" si="16"/>
        <v>8632.9</v>
      </c>
      <c r="F327" s="23">
        <v>0</v>
      </c>
      <c r="G327" s="19">
        <v>8632.9</v>
      </c>
      <c r="H327" s="19">
        <v>0</v>
      </c>
      <c r="I327" s="19">
        <v>0</v>
      </c>
      <c r="J327" s="19">
        <v>0</v>
      </c>
      <c r="K327" s="268"/>
      <c r="L327" s="261"/>
    </row>
    <row r="328" spans="1:12" ht="16.5" x14ac:dyDescent="0.25">
      <c r="A328" s="343"/>
      <c r="B328" s="336"/>
      <c r="C328" s="265"/>
      <c r="D328" s="214">
        <v>2021</v>
      </c>
      <c r="E328" s="19">
        <f t="shared" si="16"/>
        <v>10460</v>
      </c>
      <c r="F328" s="23">
        <v>0</v>
      </c>
      <c r="G328" s="19">
        <v>10460</v>
      </c>
      <c r="H328" s="19">
        <v>0</v>
      </c>
      <c r="I328" s="19">
        <v>0</v>
      </c>
      <c r="J328" s="19">
        <v>0</v>
      </c>
      <c r="K328" s="268"/>
      <c r="L328" s="261"/>
    </row>
    <row r="329" spans="1:12" ht="16.5" x14ac:dyDescent="0.25">
      <c r="A329" s="343"/>
      <c r="B329" s="336"/>
      <c r="C329" s="265"/>
      <c r="D329" s="214">
        <v>2022</v>
      </c>
      <c r="E329" s="19">
        <f t="shared" si="16"/>
        <v>10000.699999999999</v>
      </c>
      <c r="F329" s="23">
        <v>0</v>
      </c>
      <c r="G329" s="19">
        <f>8638+20.4+1342.3</f>
        <v>10000.699999999999</v>
      </c>
      <c r="H329" s="19">
        <v>0</v>
      </c>
      <c r="I329" s="19">
        <v>0</v>
      </c>
      <c r="J329" s="19">
        <v>0</v>
      </c>
      <c r="K329" s="268"/>
      <c r="L329" s="261"/>
    </row>
    <row r="330" spans="1:12" ht="16.5" x14ac:dyDescent="0.25">
      <c r="A330" s="343"/>
      <c r="B330" s="336"/>
      <c r="C330" s="265"/>
      <c r="D330" s="214">
        <v>2023</v>
      </c>
      <c r="E330" s="19">
        <f t="shared" si="16"/>
        <v>10602.199999999999</v>
      </c>
      <c r="F330" s="23">
        <v>0</v>
      </c>
      <c r="G330" s="19">
        <f>9601.4+15+985.8</f>
        <v>10602.199999999999</v>
      </c>
      <c r="H330" s="19">
        <v>0</v>
      </c>
      <c r="I330" s="19">
        <v>0</v>
      </c>
      <c r="J330" s="19">
        <v>0</v>
      </c>
      <c r="K330" s="268"/>
      <c r="L330" s="261"/>
    </row>
    <row r="331" spans="1:12" ht="16.5" x14ac:dyDescent="0.25">
      <c r="A331" s="343"/>
      <c r="B331" s="336"/>
      <c r="C331" s="265"/>
      <c r="D331" s="214">
        <v>2024</v>
      </c>
      <c r="E331" s="19">
        <f t="shared" si="16"/>
        <v>13897.4</v>
      </c>
      <c r="F331" s="23">
        <v>0</v>
      </c>
      <c r="G331" s="19">
        <f>13897.4</f>
        <v>13897.4</v>
      </c>
      <c r="H331" s="19">
        <v>0</v>
      </c>
      <c r="I331" s="19">
        <v>0</v>
      </c>
      <c r="J331" s="19">
        <v>0</v>
      </c>
      <c r="K331" s="268"/>
      <c r="L331" s="261"/>
    </row>
    <row r="332" spans="1:12" ht="16.5" x14ac:dyDescent="0.25">
      <c r="A332" s="343"/>
      <c r="B332" s="336"/>
      <c r="C332" s="265"/>
      <c r="D332" s="214">
        <v>2025</v>
      </c>
      <c r="E332" s="19">
        <f t="shared" si="16"/>
        <v>13897.4</v>
      </c>
      <c r="F332" s="23">
        <v>0</v>
      </c>
      <c r="G332" s="19">
        <f>13897.4</f>
        <v>13897.4</v>
      </c>
      <c r="H332" s="19">
        <v>0</v>
      </c>
      <c r="I332" s="19">
        <v>0</v>
      </c>
      <c r="J332" s="19">
        <v>0</v>
      </c>
      <c r="K332" s="268"/>
      <c r="L332" s="261"/>
    </row>
    <row r="333" spans="1:12" ht="17.25" thickBot="1" x14ac:dyDescent="0.3">
      <c r="A333" s="344"/>
      <c r="B333" s="337"/>
      <c r="C333" s="226"/>
      <c r="D333" s="118">
        <v>2026</v>
      </c>
      <c r="E333" s="22">
        <f t="shared" si="16"/>
        <v>13897.4</v>
      </c>
      <c r="F333" s="24">
        <v>0</v>
      </c>
      <c r="G333" s="22">
        <f>13897.4</f>
        <v>13897.4</v>
      </c>
      <c r="H333" s="22">
        <v>0</v>
      </c>
      <c r="I333" s="22">
        <v>0</v>
      </c>
      <c r="J333" s="22">
        <v>0</v>
      </c>
      <c r="K333" s="269"/>
      <c r="L333" s="262"/>
    </row>
    <row r="334" spans="1:12" ht="19.5" customHeight="1" x14ac:dyDescent="0.25">
      <c r="A334" s="342" t="s">
        <v>81</v>
      </c>
      <c r="B334" s="338" t="s">
        <v>82</v>
      </c>
      <c r="C334" s="266" t="e">
        <f>#REF!+#REF!+#REF!+#REF!+#REF!+#REF!+#REF!+#REF!</f>
        <v>#REF!</v>
      </c>
      <c r="D334" s="5">
        <v>2018</v>
      </c>
      <c r="E334" s="21">
        <f t="shared" si="16"/>
        <v>479</v>
      </c>
      <c r="F334" s="21">
        <v>0</v>
      </c>
      <c r="G334" s="21">
        <v>0</v>
      </c>
      <c r="H334" s="21">
        <v>479</v>
      </c>
      <c r="I334" s="21">
        <v>0</v>
      </c>
      <c r="J334" s="21">
        <v>0</v>
      </c>
      <c r="K334" s="267" t="s">
        <v>83</v>
      </c>
      <c r="L334" s="260" t="s">
        <v>84</v>
      </c>
    </row>
    <row r="335" spans="1:12" ht="20.25" customHeight="1" x14ac:dyDescent="0.25">
      <c r="A335" s="343"/>
      <c r="B335" s="336"/>
      <c r="C335" s="265"/>
      <c r="D335" s="4">
        <v>2019</v>
      </c>
      <c r="E335" s="19">
        <f t="shared" si="16"/>
        <v>504.5</v>
      </c>
      <c r="F335" s="19">
        <v>0</v>
      </c>
      <c r="G335" s="19">
        <v>0</v>
      </c>
      <c r="H335" s="19">
        <v>504.5</v>
      </c>
      <c r="I335" s="19">
        <v>0</v>
      </c>
      <c r="J335" s="19">
        <v>0</v>
      </c>
      <c r="K335" s="268"/>
      <c r="L335" s="261"/>
    </row>
    <row r="336" spans="1:12" ht="26.25" customHeight="1" x14ac:dyDescent="0.25">
      <c r="A336" s="343"/>
      <c r="B336" s="336"/>
      <c r="C336" s="265"/>
      <c r="D336" s="214">
        <v>2020</v>
      </c>
      <c r="E336" s="19">
        <f t="shared" si="16"/>
        <v>244.2</v>
      </c>
      <c r="F336" s="23">
        <v>0</v>
      </c>
      <c r="G336" s="19">
        <v>0</v>
      </c>
      <c r="H336" s="19">
        <v>244.2</v>
      </c>
      <c r="I336" s="19">
        <v>0</v>
      </c>
      <c r="J336" s="19">
        <v>0</v>
      </c>
      <c r="K336" s="268"/>
      <c r="L336" s="261"/>
    </row>
    <row r="337" spans="1:12" ht="27.75" customHeight="1" x14ac:dyDescent="0.25">
      <c r="A337" s="343"/>
      <c r="B337" s="336"/>
      <c r="C337" s="265"/>
      <c r="D337" s="214">
        <v>2021</v>
      </c>
      <c r="E337" s="19">
        <f t="shared" si="16"/>
        <v>510</v>
      </c>
      <c r="F337" s="23">
        <v>0</v>
      </c>
      <c r="G337" s="19">
        <v>0</v>
      </c>
      <c r="H337" s="19">
        <v>510</v>
      </c>
      <c r="I337" s="19">
        <v>0</v>
      </c>
      <c r="J337" s="19">
        <v>0</v>
      </c>
      <c r="K337" s="268"/>
      <c r="L337" s="261"/>
    </row>
    <row r="338" spans="1:12" ht="26.25" customHeight="1" x14ac:dyDescent="0.25">
      <c r="A338" s="343"/>
      <c r="B338" s="336"/>
      <c r="C338" s="265"/>
      <c r="D338" s="214">
        <v>2022</v>
      </c>
      <c r="E338" s="19">
        <f t="shared" si="16"/>
        <v>515.6</v>
      </c>
      <c r="F338" s="23">
        <v>0</v>
      </c>
      <c r="G338" s="19">
        <v>0</v>
      </c>
      <c r="H338" s="19">
        <f>530.4-14.8</f>
        <v>515.6</v>
      </c>
      <c r="I338" s="19">
        <v>0</v>
      </c>
      <c r="J338" s="19">
        <v>0</v>
      </c>
      <c r="K338" s="268"/>
      <c r="L338" s="261"/>
    </row>
    <row r="339" spans="1:12" ht="27" customHeight="1" x14ac:dyDescent="0.25">
      <c r="A339" s="343"/>
      <c r="B339" s="336"/>
      <c r="C339" s="265"/>
      <c r="D339" s="214">
        <v>2023</v>
      </c>
      <c r="E339" s="19">
        <f t="shared" si="16"/>
        <v>488.20000000000005</v>
      </c>
      <c r="F339" s="23">
        <v>0</v>
      </c>
      <c r="G339" s="19">
        <v>0</v>
      </c>
      <c r="H339" s="19">
        <f>551.6-61.2-2.2</f>
        <v>488.20000000000005</v>
      </c>
      <c r="I339" s="19">
        <v>0</v>
      </c>
      <c r="J339" s="19">
        <v>0</v>
      </c>
      <c r="K339" s="268"/>
      <c r="L339" s="261"/>
    </row>
    <row r="340" spans="1:12" ht="24.75" customHeight="1" x14ac:dyDescent="0.25">
      <c r="A340" s="343"/>
      <c r="B340" s="336"/>
      <c r="C340" s="265"/>
      <c r="D340" s="214">
        <v>2024</v>
      </c>
      <c r="E340" s="19">
        <f t="shared" si="16"/>
        <v>573.70000000000005</v>
      </c>
      <c r="F340" s="23">
        <v>0</v>
      </c>
      <c r="G340" s="19">
        <v>0</v>
      </c>
      <c r="H340" s="178">
        <f>573.7</f>
        <v>573.70000000000005</v>
      </c>
      <c r="I340" s="19">
        <v>0</v>
      </c>
      <c r="J340" s="19">
        <v>0</v>
      </c>
      <c r="K340" s="268"/>
      <c r="L340" s="261"/>
    </row>
    <row r="341" spans="1:12" ht="25.5" customHeight="1" x14ac:dyDescent="0.25">
      <c r="A341" s="343"/>
      <c r="B341" s="336"/>
      <c r="C341" s="265"/>
      <c r="D341" s="214">
        <v>2025</v>
      </c>
      <c r="E341" s="19">
        <f t="shared" si="16"/>
        <v>573.70000000000005</v>
      </c>
      <c r="F341" s="23">
        <v>0</v>
      </c>
      <c r="G341" s="19">
        <v>0</v>
      </c>
      <c r="H341" s="138">
        <f>573.7</f>
        <v>573.70000000000005</v>
      </c>
      <c r="I341" s="19">
        <v>0</v>
      </c>
      <c r="J341" s="19">
        <v>0</v>
      </c>
      <c r="K341" s="268"/>
      <c r="L341" s="261"/>
    </row>
    <row r="342" spans="1:12" ht="27.75" customHeight="1" thickBot="1" x14ac:dyDescent="0.3">
      <c r="A342" s="344"/>
      <c r="B342" s="337"/>
      <c r="C342" s="226"/>
      <c r="D342" s="118">
        <v>2026</v>
      </c>
      <c r="E342" s="22">
        <f t="shared" si="16"/>
        <v>573.70000000000005</v>
      </c>
      <c r="F342" s="24">
        <v>0</v>
      </c>
      <c r="G342" s="22">
        <v>0</v>
      </c>
      <c r="H342" s="139">
        <f>573.7</f>
        <v>573.70000000000005</v>
      </c>
      <c r="I342" s="22">
        <v>0</v>
      </c>
      <c r="J342" s="22">
        <v>0</v>
      </c>
      <c r="K342" s="269"/>
      <c r="L342" s="262"/>
    </row>
    <row r="343" spans="1:12" ht="16.5" x14ac:dyDescent="0.25">
      <c r="A343" s="342" t="s">
        <v>85</v>
      </c>
      <c r="B343" s="338" t="s">
        <v>86</v>
      </c>
      <c r="C343" s="266" t="e">
        <f>#REF!+#REF!+#REF!+#REF!+#REF!+#REF!+#REF!+#REF!</f>
        <v>#REF!</v>
      </c>
      <c r="D343" s="5">
        <v>2018</v>
      </c>
      <c r="E343" s="21">
        <f t="shared" si="16"/>
        <v>12599</v>
      </c>
      <c r="F343" s="21">
        <v>0</v>
      </c>
      <c r="G343" s="21">
        <v>0</v>
      </c>
      <c r="H343" s="21">
        <v>12599</v>
      </c>
      <c r="I343" s="21">
        <v>0</v>
      </c>
      <c r="J343" s="21">
        <v>0</v>
      </c>
      <c r="K343" s="267" t="s">
        <v>87</v>
      </c>
      <c r="L343" s="260" t="s">
        <v>38</v>
      </c>
    </row>
    <row r="344" spans="1:12" ht="16.5" x14ac:dyDescent="0.25">
      <c r="A344" s="343"/>
      <c r="B344" s="336"/>
      <c r="C344" s="265"/>
      <c r="D344" s="4">
        <v>2019</v>
      </c>
      <c r="E344" s="19">
        <f t="shared" si="16"/>
        <v>13349.7</v>
      </c>
      <c r="F344" s="19">
        <v>0</v>
      </c>
      <c r="G344" s="19">
        <v>0</v>
      </c>
      <c r="H344" s="19">
        <v>13349.7</v>
      </c>
      <c r="I344" s="19">
        <v>0</v>
      </c>
      <c r="J344" s="19">
        <v>0</v>
      </c>
      <c r="K344" s="268"/>
      <c r="L344" s="261"/>
    </row>
    <row r="345" spans="1:12" ht="16.5" x14ac:dyDescent="0.25">
      <c r="A345" s="343"/>
      <c r="B345" s="336"/>
      <c r="C345" s="265"/>
      <c r="D345" s="214">
        <v>2020</v>
      </c>
      <c r="E345" s="19">
        <f t="shared" si="16"/>
        <v>10171.200000000001</v>
      </c>
      <c r="F345" s="23">
        <v>0</v>
      </c>
      <c r="G345" s="19">
        <v>0</v>
      </c>
      <c r="H345" s="19">
        <v>10171.200000000001</v>
      </c>
      <c r="I345" s="19">
        <v>0</v>
      </c>
      <c r="J345" s="19">
        <v>0</v>
      </c>
      <c r="K345" s="268"/>
      <c r="L345" s="261"/>
    </row>
    <row r="346" spans="1:12" ht="16.5" x14ac:dyDescent="0.25">
      <c r="A346" s="343"/>
      <c r="B346" s="336"/>
      <c r="C346" s="265"/>
      <c r="D346" s="214">
        <v>2021</v>
      </c>
      <c r="E346" s="19">
        <f t="shared" si="16"/>
        <v>22215.8</v>
      </c>
      <c r="F346" s="23">
        <v>0</v>
      </c>
      <c r="G346" s="19">
        <v>0</v>
      </c>
      <c r="H346" s="19">
        <v>22215.8</v>
      </c>
      <c r="I346" s="19">
        <v>0</v>
      </c>
      <c r="J346" s="19">
        <v>0</v>
      </c>
      <c r="K346" s="268"/>
      <c r="L346" s="261"/>
    </row>
    <row r="347" spans="1:12" ht="16.5" x14ac:dyDescent="0.25">
      <c r="A347" s="343"/>
      <c r="B347" s="336"/>
      <c r="C347" s="265"/>
      <c r="D347" s="214">
        <v>2022</v>
      </c>
      <c r="E347" s="19">
        <f t="shared" si="16"/>
        <v>25597.9</v>
      </c>
      <c r="F347" s="23">
        <v>0</v>
      </c>
      <c r="G347" s="19">
        <v>0</v>
      </c>
      <c r="H347" s="19">
        <f>19637.9+5453.2+506.8</f>
        <v>25597.9</v>
      </c>
      <c r="I347" s="19">
        <v>0</v>
      </c>
      <c r="J347" s="19">
        <v>0</v>
      </c>
      <c r="K347" s="268"/>
      <c r="L347" s="261"/>
    </row>
    <row r="348" spans="1:12" ht="16.5" x14ac:dyDescent="0.25">
      <c r="A348" s="343"/>
      <c r="B348" s="336"/>
      <c r="C348" s="265"/>
      <c r="D348" s="214">
        <v>2023</v>
      </c>
      <c r="E348" s="19">
        <f t="shared" si="16"/>
        <v>73157.099999999991</v>
      </c>
      <c r="F348" s="23">
        <v>0</v>
      </c>
      <c r="G348" s="19">
        <v>0</v>
      </c>
      <c r="H348" s="19">
        <f>69260.5+2238.7+601.2+1087.3-30.6</f>
        <v>73157.099999999991</v>
      </c>
      <c r="I348" s="19">
        <v>0</v>
      </c>
      <c r="J348" s="19">
        <v>0</v>
      </c>
      <c r="K348" s="268"/>
      <c r="L348" s="261"/>
    </row>
    <row r="349" spans="1:12" ht="16.5" x14ac:dyDescent="0.25">
      <c r="A349" s="343"/>
      <c r="B349" s="336"/>
      <c r="C349" s="265"/>
      <c r="D349" s="214">
        <v>2024</v>
      </c>
      <c r="E349" s="19">
        <f t="shared" si="16"/>
        <v>77632.2</v>
      </c>
      <c r="F349" s="23">
        <v>0</v>
      </c>
      <c r="G349" s="19">
        <v>0</v>
      </c>
      <c r="H349" s="178">
        <f>77632.2</f>
        <v>77632.2</v>
      </c>
      <c r="I349" s="19">
        <v>0</v>
      </c>
      <c r="J349" s="19">
        <v>0</v>
      </c>
      <c r="K349" s="268"/>
      <c r="L349" s="261"/>
    </row>
    <row r="350" spans="1:12" ht="16.5" x14ac:dyDescent="0.25">
      <c r="A350" s="343"/>
      <c r="B350" s="336"/>
      <c r="C350" s="265"/>
      <c r="D350" s="214">
        <v>2025</v>
      </c>
      <c r="E350" s="19">
        <f t="shared" si="16"/>
        <v>77632.2</v>
      </c>
      <c r="F350" s="23">
        <v>0</v>
      </c>
      <c r="G350" s="19">
        <v>0</v>
      </c>
      <c r="H350" s="138">
        <f>77632.2</f>
        <v>77632.2</v>
      </c>
      <c r="I350" s="19">
        <v>0</v>
      </c>
      <c r="J350" s="19">
        <v>0</v>
      </c>
      <c r="K350" s="268"/>
      <c r="L350" s="261"/>
    </row>
    <row r="351" spans="1:12" ht="17.25" thickBot="1" x14ac:dyDescent="0.3">
      <c r="A351" s="344"/>
      <c r="B351" s="337"/>
      <c r="C351" s="226"/>
      <c r="D351" s="118">
        <v>2026</v>
      </c>
      <c r="E351" s="22">
        <f t="shared" si="16"/>
        <v>77632.2</v>
      </c>
      <c r="F351" s="24">
        <v>0</v>
      </c>
      <c r="G351" s="22">
        <v>0</v>
      </c>
      <c r="H351" s="139">
        <f>77632.2</f>
        <v>77632.2</v>
      </c>
      <c r="I351" s="22">
        <v>0</v>
      </c>
      <c r="J351" s="22">
        <v>0</v>
      </c>
      <c r="K351" s="269"/>
      <c r="L351" s="262"/>
    </row>
    <row r="352" spans="1:12" ht="16.5" x14ac:dyDescent="0.25">
      <c r="A352" s="342" t="s">
        <v>88</v>
      </c>
      <c r="B352" s="338" t="s">
        <v>89</v>
      </c>
      <c r="C352" s="266" t="e">
        <f>#REF!+#REF!+#REF!+#REF!+#REF!+#REF!+#REF!+#REF!</f>
        <v>#REF!</v>
      </c>
      <c r="D352" s="5">
        <v>2018</v>
      </c>
      <c r="E352" s="21">
        <f t="shared" si="16"/>
        <v>4261.5</v>
      </c>
      <c r="F352" s="21">
        <v>0</v>
      </c>
      <c r="G352" s="21">
        <v>0</v>
      </c>
      <c r="H352" s="21">
        <v>4261.5</v>
      </c>
      <c r="I352" s="21">
        <v>0</v>
      </c>
      <c r="J352" s="21">
        <v>0</v>
      </c>
      <c r="K352" s="267" t="s">
        <v>90</v>
      </c>
      <c r="L352" s="260" t="s">
        <v>38</v>
      </c>
    </row>
    <row r="353" spans="1:12" ht="16.5" x14ac:dyDescent="0.25">
      <c r="A353" s="343"/>
      <c r="B353" s="336"/>
      <c r="C353" s="265"/>
      <c r="D353" s="4">
        <v>2019</v>
      </c>
      <c r="E353" s="19">
        <f t="shared" si="16"/>
        <v>9512</v>
      </c>
      <c r="F353" s="19">
        <v>0</v>
      </c>
      <c r="G353" s="19">
        <v>0</v>
      </c>
      <c r="H353" s="19">
        <v>9512</v>
      </c>
      <c r="I353" s="19">
        <v>0</v>
      </c>
      <c r="J353" s="19">
        <v>0</v>
      </c>
      <c r="K353" s="268"/>
      <c r="L353" s="261"/>
    </row>
    <row r="354" spans="1:12" ht="16.5" x14ac:dyDescent="0.25">
      <c r="A354" s="343"/>
      <c r="B354" s="336"/>
      <c r="C354" s="265"/>
      <c r="D354" s="214">
        <v>2020</v>
      </c>
      <c r="E354" s="19">
        <f t="shared" si="16"/>
        <v>14875.1</v>
      </c>
      <c r="F354" s="23">
        <v>0</v>
      </c>
      <c r="G354" s="19">
        <v>0</v>
      </c>
      <c r="H354" s="19">
        <v>14875.1</v>
      </c>
      <c r="I354" s="19">
        <v>0</v>
      </c>
      <c r="J354" s="19">
        <v>0</v>
      </c>
      <c r="K354" s="268"/>
      <c r="L354" s="261"/>
    </row>
    <row r="355" spans="1:12" ht="16.5" x14ac:dyDescent="0.25">
      <c r="A355" s="343"/>
      <c r="B355" s="336"/>
      <c r="C355" s="265"/>
      <c r="D355" s="214">
        <v>2021</v>
      </c>
      <c r="E355" s="19">
        <f t="shared" si="16"/>
        <v>20110.5</v>
      </c>
      <c r="F355" s="23">
        <v>0</v>
      </c>
      <c r="G355" s="19">
        <v>0</v>
      </c>
      <c r="H355" s="19">
        <v>20110.5</v>
      </c>
      <c r="I355" s="19">
        <v>0</v>
      </c>
      <c r="J355" s="19">
        <v>0</v>
      </c>
      <c r="K355" s="268"/>
      <c r="L355" s="261"/>
    </row>
    <row r="356" spans="1:12" ht="16.5" x14ac:dyDescent="0.25">
      <c r="A356" s="343"/>
      <c r="B356" s="336"/>
      <c r="C356" s="265"/>
      <c r="D356" s="214">
        <v>2022</v>
      </c>
      <c r="E356" s="19">
        <f t="shared" si="16"/>
        <v>11547.3</v>
      </c>
      <c r="F356" s="23">
        <v>0</v>
      </c>
      <c r="G356" s="19">
        <v>0</v>
      </c>
      <c r="H356" s="19">
        <v>11547.3</v>
      </c>
      <c r="I356" s="19">
        <v>0</v>
      </c>
      <c r="J356" s="19">
        <v>0</v>
      </c>
      <c r="K356" s="268"/>
      <c r="L356" s="261"/>
    </row>
    <row r="357" spans="1:12" ht="16.5" x14ac:dyDescent="0.25">
      <c r="A357" s="343"/>
      <c r="B357" s="336"/>
      <c r="C357" s="265"/>
      <c r="D357" s="214">
        <v>2023</v>
      </c>
      <c r="E357" s="19">
        <f t="shared" si="16"/>
        <v>17369</v>
      </c>
      <c r="F357" s="23">
        <v>0</v>
      </c>
      <c r="G357" s="19">
        <v>0</v>
      </c>
      <c r="H357" s="19">
        <f>20721.3-2739.1-1249.1+319.8+316.1</f>
        <v>17369</v>
      </c>
      <c r="I357" s="19">
        <v>0</v>
      </c>
      <c r="J357" s="19">
        <v>0</v>
      </c>
      <c r="K357" s="268"/>
      <c r="L357" s="261"/>
    </row>
    <row r="358" spans="1:12" ht="16.5" x14ac:dyDescent="0.25">
      <c r="A358" s="343"/>
      <c r="B358" s="336"/>
      <c r="C358" s="265"/>
      <c r="D358" s="214">
        <v>2024</v>
      </c>
      <c r="E358" s="19">
        <f t="shared" si="16"/>
        <v>43069</v>
      </c>
      <c r="F358" s="23">
        <v>0</v>
      </c>
      <c r="G358" s="19">
        <v>0</v>
      </c>
      <c r="H358" s="178">
        <f>43069</f>
        <v>43069</v>
      </c>
      <c r="I358" s="19">
        <v>0</v>
      </c>
      <c r="J358" s="19">
        <v>0</v>
      </c>
      <c r="K358" s="268"/>
      <c r="L358" s="261"/>
    </row>
    <row r="359" spans="1:12" ht="16.5" x14ac:dyDescent="0.25">
      <c r="A359" s="343"/>
      <c r="B359" s="336"/>
      <c r="C359" s="265"/>
      <c r="D359" s="214">
        <v>2025</v>
      </c>
      <c r="E359" s="19">
        <f t="shared" si="16"/>
        <v>13402.4</v>
      </c>
      <c r="F359" s="23">
        <v>0</v>
      </c>
      <c r="G359" s="19">
        <v>0</v>
      </c>
      <c r="H359" s="138">
        <f>13402.4</f>
        <v>13402.4</v>
      </c>
      <c r="I359" s="19">
        <v>0</v>
      </c>
      <c r="J359" s="19">
        <v>0</v>
      </c>
      <c r="K359" s="268"/>
      <c r="L359" s="261"/>
    </row>
    <row r="360" spans="1:12" ht="17.25" thickBot="1" x14ac:dyDescent="0.3">
      <c r="A360" s="344"/>
      <c r="B360" s="337"/>
      <c r="C360" s="226"/>
      <c r="D360" s="118">
        <v>2026</v>
      </c>
      <c r="E360" s="22">
        <f t="shared" si="16"/>
        <v>13402.4</v>
      </c>
      <c r="F360" s="24">
        <v>0</v>
      </c>
      <c r="G360" s="22">
        <v>0</v>
      </c>
      <c r="H360" s="139">
        <f>13402.4</f>
        <v>13402.4</v>
      </c>
      <c r="I360" s="22">
        <v>0</v>
      </c>
      <c r="J360" s="22">
        <v>0</v>
      </c>
      <c r="K360" s="269"/>
      <c r="L360" s="262"/>
    </row>
    <row r="361" spans="1:12" ht="17.25" thickBot="1" x14ac:dyDescent="0.3">
      <c r="A361" s="135">
        <v>1</v>
      </c>
      <c r="B361" s="40">
        <v>2</v>
      </c>
      <c r="C361" s="40"/>
      <c r="D361" s="40">
        <v>3</v>
      </c>
      <c r="E361" s="40">
        <v>4</v>
      </c>
      <c r="F361" s="40">
        <v>5</v>
      </c>
      <c r="G361" s="40">
        <v>6</v>
      </c>
      <c r="H361" s="40">
        <v>7</v>
      </c>
      <c r="I361" s="40">
        <v>8</v>
      </c>
      <c r="J361" s="40">
        <v>9</v>
      </c>
      <c r="K361" s="78">
        <v>10</v>
      </c>
      <c r="L361" s="78">
        <v>11</v>
      </c>
    </row>
    <row r="362" spans="1:12" ht="21.75" customHeight="1" x14ac:dyDescent="0.25">
      <c r="A362" s="342" t="s">
        <v>91</v>
      </c>
      <c r="B362" s="270" t="s">
        <v>92</v>
      </c>
      <c r="C362" s="266" t="e">
        <f>#REF!+#REF!+#REF!+#REF!+#REF!+#REF!+#REF!+#REF!</f>
        <v>#REF!</v>
      </c>
      <c r="D362" s="5">
        <v>2018</v>
      </c>
      <c r="E362" s="21">
        <f t="shared" si="16"/>
        <v>0</v>
      </c>
      <c r="F362" s="21">
        <v>0</v>
      </c>
      <c r="G362" s="21">
        <v>0</v>
      </c>
      <c r="H362" s="21">
        <v>0</v>
      </c>
      <c r="I362" s="21">
        <v>0</v>
      </c>
      <c r="J362" s="21">
        <v>0</v>
      </c>
      <c r="K362" s="267" t="s">
        <v>93</v>
      </c>
      <c r="L362" s="260" t="s">
        <v>12</v>
      </c>
    </row>
    <row r="363" spans="1:12" ht="21" customHeight="1" x14ac:dyDescent="0.25">
      <c r="A363" s="343"/>
      <c r="B363" s="271"/>
      <c r="C363" s="265"/>
      <c r="D363" s="4">
        <v>2019</v>
      </c>
      <c r="E363" s="19">
        <f t="shared" si="16"/>
        <v>320</v>
      </c>
      <c r="F363" s="19">
        <v>0</v>
      </c>
      <c r="G363" s="19">
        <v>0</v>
      </c>
      <c r="H363" s="19">
        <v>320</v>
      </c>
      <c r="I363" s="19">
        <v>0</v>
      </c>
      <c r="J363" s="19">
        <v>0</v>
      </c>
      <c r="K363" s="268"/>
      <c r="L363" s="261"/>
    </row>
    <row r="364" spans="1:12" ht="19.5" customHeight="1" x14ac:dyDescent="0.25">
      <c r="A364" s="343"/>
      <c r="B364" s="271"/>
      <c r="C364" s="265"/>
      <c r="D364" s="214">
        <v>2020</v>
      </c>
      <c r="E364" s="19">
        <f t="shared" si="16"/>
        <v>0</v>
      </c>
      <c r="F364" s="23">
        <v>0</v>
      </c>
      <c r="G364" s="19">
        <v>0</v>
      </c>
      <c r="H364" s="19">
        <v>0</v>
      </c>
      <c r="I364" s="19">
        <v>0</v>
      </c>
      <c r="J364" s="19">
        <v>0</v>
      </c>
      <c r="K364" s="268"/>
      <c r="L364" s="261"/>
    </row>
    <row r="365" spans="1:12" ht="22.5" customHeight="1" x14ac:dyDescent="0.25">
      <c r="A365" s="343"/>
      <c r="B365" s="271"/>
      <c r="C365" s="265"/>
      <c r="D365" s="214">
        <v>2021</v>
      </c>
      <c r="E365" s="19">
        <f t="shared" si="16"/>
        <v>0</v>
      </c>
      <c r="F365" s="23">
        <v>0</v>
      </c>
      <c r="G365" s="19">
        <v>0</v>
      </c>
      <c r="H365" s="19">
        <v>0</v>
      </c>
      <c r="I365" s="19">
        <v>0</v>
      </c>
      <c r="J365" s="19">
        <v>0</v>
      </c>
      <c r="K365" s="268"/>
      <c r="L365" s="261"/>
    </row>
    <row r="366" spans="1:12" ht="25.5" customHeight="1" x14ac:dyDescent="0.25">
      <c r="A366" s="343"/>
      <c r="B366" s="271"/>
      <c r="C366" s="265"/>
      <c r="D366" s="214">
        <v>2022</v>
      </c>
      <c r="E366" s="19">
        <f t="shared" si="16"/>
        <v>0</v>
      </c>
      <c r="F366" s="23">
        <v>0</v>
      </c>
      <c r="G366" s="19">
        <v>0</v>
      </c>
      <c r="H366" s="19">
        <v>0</v>
      </c>
      <c r="I366" s="19">
        <v>0</v>
      </c>
      <c r="J366" s="19">
        <v>0</v>
      </c>
      <c r="K366" s="268"/>
      <c r="L366" s="261"/>
    </row>
    <row r="367" spans="1:12" ht="17.25" customHeight="1" x14ac:dyDescent="0.25">
      <c r="A367" s="343"/>
      <c r="B367" s="271"/>
      <c r="C367" s="265"/>
      <c r="D367" s="214">
        <v>2023</v>
      </c>
      <c r="E367" s="19">
        <f t="shared" si="16"/>
        <v>0</v>
      </c>
      <c r="F367" s="23">
        <v>0</v>
      </c>
      <c r="G367" s="19">
        <v>0</v>
      </c>
      <c r="H367" s="19">
        <v>0</v>
      </c>
      <c r="I367" s="19">
        <v>0</v>
      </c>
      <c r="J367" s="19">
        <v>0</v>
      </c>
      <c r="K367" s="268"/>
      <c r="L367" s="261"/>
    </row>
    <row r="368" spans="1:12" ht="19.5" customHeight="1" x14ac:dyDescent="0.25">
      <c r="A368" s="343"/>
      <c r="B368" s="271"/>
      <c r="C368" s="265"/>
      <c r="D368" s="214">
        <v>2024</v>
      </c>
      <c r="E368" s="19">
        <f t="shared" si="16"/>
        <v>0</v>
      </c>
      <c r="F368" s="23">
        <v>0</v>
      </c>
      <c r="G368" s="19">
        <v>0</v>
      </c>
      <c r="H368" s="19">
        <v>0</v>
      </c>
      <c r="I368" s="19">
        <v>0</v>
      </c>
      <c r="J368" s="19">
        <v>0</v>
      </c>
      <c r="K368" s="268"/>
      <c r="L368" s="261"/>
    </row>
    <row r="369" spans="1:12" ht="19.5" customHeight="1" x14ac:dyDescent="0.25">
      <c r="A369" s="343"/>
      <c r="B369" s="271"/>
      <c r="C369" s="265"/>
      <c r="D369" s="214">
        <v>2025</v>
      </c>
      <c r="E369" s="19">
        <f t="shared" si="16"/>
        <v>0</v>
      </c>
      <c r="F369" s="23">
        <v>0</v>
      </c>
      <c r="G369" s="19">
        <v>0</v>
      </c>
      <c r="H369" s="19">
        <v>0</v>
      </c>
      <c r="I369" s="19">
        <v>0</v>
      </c>
      <c r="J369" s="19">
        <v>0</v>
      </c>
      <c r="K369" s="268"/>
      <c r="L369" s="261"/>
    </row>
    <row r="370" spans="1:12" ht="25.5" customHeight="1" thickBot="1" x14ac:dyDescent="0.3">
      <c r="A370" s="344"/>
      <c r="B370" s="272"/>
      <c r="C370" s="226"/>
      <c r="D370" s="118">
        <v>2026</v>
      </c>
      <c r="E370" s="22">
        <f t="shared" si="16"/>
        <v>0</v>
      </c>
      <c r="F370" s="24">
        <v>0</v>
      </c>
      <c r="G370" s="22">
        <v>0</v>
      </c>
      <c r="H370" s="22">
        <v>0</v>
      </c>
      <c r="I370" s="22">
        <v>0</v>
      </c>
      <c r="J370" s="22">
        <v>0</v>
      </c>
      <c r="K370" s="269"/>
      <c r="L370" s="262"/>
    </row>
    <row r="371" spans="1:12" ht="24" customHeight="1" x14ac:dyDescent="0.25">
      <c r="A371" s="342" t="s">
        <v>94</v>
      </c>
      <c r="B371" s="339" t="s">
        <v>95</v>
      </c>
      <c r="C371" s="266" t="e">
        <f>#REF!+#REF!+#REF!+#REF!+#REF!+#REF!+#REF!+#REF!</f>
        <v>#REF!</v>
      </c>
      <c r="D371" s="5">
        <v>2018</v>
      </c>
      <c r="E371" s="21">
        <f t="shared" si="16"/>
        <v>1519.3</v>
      </c>
      <c r="F371" s="21">
        <v>0</v>
      </c>
      <c r="G371" s="21">
        <v>1519.3</v>
      </c>
      <c r="H371" s="21">
        <v>0</v>
      </c>
      <c r="I371" s="21">
        <v>0</v>
      </c>
      <c r="J371" s="21">
        <v>0</v>
      </c>
      <c r="K371" s="267" t="s">
        <v>96</v>
      </c>
      <c r="L371" s="260" t="s">
        <v>97</v>
      </c>
    </row>
    <row r="372" spans="1:12" ht="26.25" customHeight="1" x14ac:dyDescent="0.25">
      <c r="A372" s="343"/>
      <c r="B372" s="340"/>
      <c r="C372" s="265"/>
      <c r="D372" s="4">
        <v>2019</v>
      </c>
      <c r="E372" s="19">
        <f t="shared" si="16"/>
        <v>2994.3</v>
      </c>
      <c r="F372" s="19">
        <v>0</v>
      </c>
      <c r="G372" s="19">
        <v>2994.3</v>
      </c>
      <c r="H372" s="19">
        <v>0</v>
      </c>
      <c r="I372" s="19">
        <v>0</v>
      </c>
      <c r="J372" s="19">
        <v>0</v>
      </c>
      <c r="K372" s="268"/>
      <c r="L372" s="261"/>
    </row>
    <row r="373" spans="1:12" ht="27" customHeight="1" x14ac:dyDescent="0.25">
      <c r="A373" s="343"/>
      <c r="B373" s="340"/>
      <c r="C373" s="265"/>
      <c r="D373" s="214">
        <v>2020</v>
      </c>
      <c r="E373" s="19">
        <f t="shared" si="16"/>
        <v>5667.1</v>
      </c>
      <c r="F373" s="23">
        <v>0</v>
      </c>
      <c r="G373" s="19">
        <v>5667.1</v>
      </c>
      <c r="H373" s="19">
        <v>0</v>
      </c>
      <c r="I373" s="19">
        <v>0</v>
      </c>
      <c r="J373" s="19">
        <v>0</v>
      </c>
      <c r="K373" s="268"/>
      <c r="L373" s="261"/>
    </row>
    <row r="374" spans="1:12" ht="24.75" customHeight="1" x14ac:dyDescent="0.25">
      <c r="A374" s="343"/>
      <c r="B374" s="340"/>
      <c r="C374" s="265"/>
      <c r="D374" s="214">
        <v>2021</v>
      </c>
      <c r="E374" s="19">
        <f t="shared" si="16"/>
        <v>3376.6</v>
      </c>
      <c r="F374" s="23">
        <v>0</v>
      </c>
      <c r="G374" s="19">
        <v>3376.6</v>
      </c>
      <c r="H374" s="19">
        <v>0</v>
      </c>
      <c r="I374" s="19">
        <v>0</v>
      </c>
      <c r="J374" s="19">
        <v>0</v>
      </c>
      <c r="K374" s="268"/>
      <c r="L374" s="261"/>
    </row>
    <row r="375" spans="1:12" ht="23.25" customHeight="1" x14ac:dyDescent="0.25">
      <c r="A375" s="343"/>
      <c r="B375" s="340"/>
      <c r="C375" s="265"/>
      <c r="D375" s="214">
        <v>2022</v>
      </c>
      <c r="E375" s="19">
        <f t="shared" si="16"/>
        <v>6452.5</v>
      </c>
      <c r="F375" s="23">
        <v>0</v>
      </c>
      <c r="G375" s="19">
        <f>3927+1807.5+718</f>
        <v>6452.5</v>
      </c>
      <c r="H375" s="19">
        <v>0</v>
      </c>
      <c r="I375" s="19">
        <v>0</v>
      </c>
      <c r="J375" s="19">
        <v>0</v>
      </c>
      <c r="K375" s="268"/>
      <c r="L375" s="261"/>
    </row>
    <row r="376" spans="1:12" ht="24.75" customHeight="1" x14ac:dyDescent="0.25">
      <c r="A376" s="343"/>
      <c r="B376" s="340"/>
      <c r="C376" s="265"/>
      <c r="D376" s="214">
        <v>2023</v>
      </c>
      <c r="E376" s="19">
        <f t="shared" si="16"/>
        <v>3372.5</v>
      </c>
      <c r="F376" s="23">
        <v>0</v>
      </c>
      <c r="G376" s="19">
        <f>3047.4+325.1</f>
        <v>3372.5</v>
      </c>
      <c r="H376" s="19">
        <v>0</v>
      </c>
      <c r="I376" s="19">
        <v>0</v>
      </c>
      <c r="J376" s="19">
        <v>0</v>
      </c>
      <c r="K376" s="268"/>
      <c r="L376" s="261"/>
    </row>
    <row r="377" spans="1:12" ht="24.75" customHeight="1" x14ac:dyDescent="0.25">
      <c r="A377" s="343"/>
      <c r="B377" s="340"/>
      <c r="C377" s="265"/>
      <c r="D377" s="214">
        <v>2024</v>
      </c>
      <c r="E377" s="19">
        <f t="shared" si="16"/>
        <v>3908.9</v>
      </c>
      <c r="F377" s="23">
        <v>0</v>
      </c>
      <c r="G377" s="19">
        <f>3908.9</f>
        <v>3908.9</v>
      </c>
      <c r="H377" s="19">
        <v>0</v>
      </c>
      <c r="I377" s="19">
        <v>0</v>
      </c>
      <c r="J377" s="19">
        <v>0</v>
      </c>
      <c r="K377" s="268"/>
      <c r="L377" s="261"/>
    </row>
    <row r="378" spans="1:12" ht="21.75" customHeight="1" x14ac:dyDescent="0.25">
      <c r="A378" s="343"/>
      <c r="B378" s="340"/>
      <c r="C378" s="265"/>
      <c r="D378" s="214">
        <v>2025</v>
      </c>
      <c r="E378" s="19">
        <f t="shared" si="16"/>
        <v>3780.1</v>
      </c>
      <c r="F378" s="23">
        <v>0</v>
      </c>
      <c r="G378" s="19">
        <f>3780.1</f>
        <v>3780.1</v>
      </c>
      <c r="H378" s="19">
        <v>0</v>
      </c>
      <c r="I378" s="19">
        <v>0</v>
      </c>
      <c r="J378" s="19">
        <v>0</v>
      </c>
      <c r="K378" s="268"/>
      <c r="L378" s="261"/>
    </row>
    <row r="379" spans="1:12" ht="21" customHeight="1" thickBot="1" x14ac:dyDescent="0.3">
      <c r="A379" s="344"/>
      <c r="B379" s="341"/>
      <c r="C379" s="226"/>
      <c r="D379" s="118">
        <v>2026</v>
      </c>
      <c r="E379" s="22">
        <f t="shared" si="16"/>
        <v>3748.3</v>
      </c>
      <c r="F379" s="24">
        <v>0</v>
      </c>
      <c r="G379" s="22">
        <v>3748.3</v>
      </c>
      <c r="H379" s="22">
        <v>0</v>
      </c>
      <c r="I379" s="22">
        <v>0</v>
      </c>
      <c r="J379" s="22">
        <v>0</v>
      </c>
      <c r="K379" s="269"/>
      <c r="L379" s="262"/>
    </row>
    <row r="380" spans="1:12" ht="21" customHeight="1" x14ac:dyDescent="0.25">
      <c r="A380" s="342" t="s">
        <v>99</v>
      </c>
      <c r="B380" s="270" t="s">
        <v>98</v>
      </c>
      <c r="C380" s="266" t="e">
        <f>#REF!+#REF!+#REF!+#REF!+#REF!+#REF!+#REF!+#REF!</f>
        <v>#REF!</v>
      </c>
      <c r="D380" s="5">
        <v>2018</v>
      </c>
      <c r="E380" s="21">
        <f t="shared" si="16"/>
        <v>6287.5</v>
      </c>
      <c r="F380" s="21">
        <v>0</v>
      </c>
      <c r="G380" s="21">
        <v>3143.7</v>
      </c>
      <c r="H380" s="21">
        <v>3143.8</v>
      </c>
      <c r="I380" s="21">
        <v>3143.7</v>
      </c>
      <c r="J380" s="21">
        <v>0</v>
      </c>
      <c r="K380" s="267" t="s">
        <v>100</v>
      </c>
      <c r="L380" s="260" t="s">
        <v>12</v>
      </c>
    </row>
    <row r="381" spans="1:12" ht="24.75" customHeight="1" x14ac:dyDescent="0.25">
      <c r="A381" s="343"/>
      <c r="B381" s="271"/>
      <c r="C381" s="265"/>
      <c r="D381" s="4">
        <v>2019</v>
      </c>
      <c r="E381" s="19">
        <f t="shared" si="16"/>
        <v>3490.8</v>
      </c>
      <c r="F381" s="19">
        <v>0</v>
      </c>
      <c r="G381" s="19">
        <v>1650.3</v>
      </c>
      <c r="H381" s="19">
        <v>1840.5</v>
      </c>
      <c r="I381" s="19">
        <v>1650.5</v>
      </c>
      <c r="J381" s="19">
        <v>0</v>
      </c>
      <c r="K381" s="268"/>
      <c r="L381" s="261"/>
    </row>
    <row r="382" spans="1:12" ht="16.5" x14ac:dyDescent="0.25">
      <c r="A382" s="343"/>
      <c r="B382" s="271"/>
      <c r="C382" s="265"/>
      <c r="D382" s="214">
        <v>2020</v>
      </c>
      <c r="E382" s="19">
        <f t="shared" si="16"/>
        <v>133</v>
      </c>
      <c r="F382" s="23">
        <v>0</v>
      </c>
      <c r="G382" s="19">
        <v>0</v>
      </c>
      <c r="H382" s="19">
        <v>133</v>
      </c>
      <c r="I382" s="19">
        <v>0</v>
      </c>
      <c r="J382" s="19">
        <v>0</v>
      </c>
      <c r="K382" s="268"/>
      <c r="L382" s="261"/>
    </row>
    <row r="383" spans="1:12" ht="25.5" customHeight="1" x14ac:dyDescent="0.25">
      <c r="A383" s="343"/>
      <c r="B383" s="271"/>
      <c r="C383" s="265"/>
      <c r="D383" s="214">
        <v>2021</v>
      </c>
      <c r="E383" s="19">
        <f t="shared" si="16"/>
        <v>0</v>
      </c>
      <c r="F383" s="23">
        <v>0</v>
      </c>
      <c r="G383" s="19">
        <v>0</v>
      </c>
      <c r="H383" s="19">
        <v>0</v>
      </c>
      <c r="I383" s="19">
        <v>0</v>
      </c>
      <c r="J383" s="19">
        <v>0</v>
      </c>
      <c r="K383" s="268"/>
      <c r="L383" s="261"/>
    </row>
    <row r="384" spans="1:12" ht="16.5" x14ac:dyDescent="0.25">
      <c r="A384" s="343"/>
      <c r="B384" s="271"/>
      <c r="C384" s="265"/>
      <c r="D384" s="214">
        <v>2022</v>
      </c>
      <c r="E384" s="19">
        <f t="shared" si="16"/>
        <v>50</v>
      </c>
      <c r="F384" s="23">
        <v>0</v>
      </c>
      <c r="G384" s="19">
        <v>0</v>
      </c>
      <c r="H384" s="19">
        <f>180.5-80.5-50</f>
        <v>50</v>
      </c>
      <c r="I384" s="19">
        <v>0</v>
      </c>
      <c r="J384" s="19">
        <v>0</v>
      </c>
      <c r="K384" s="268"/>
      <c r="L384" s="261"/>
    </row>
    <row r="385" spans="1:12" ht="16.5" x14ac:dyDescent="0.25">
      <c r="A385" s="343"/>
      <c r="B385" s="271"/>
      <c r="C385" s="265"/>
      <c r="D385" s="214">
        <v>2023</v>
      </c>
      <c r="E385" s="19">
        <f t="shared" si="16"/>
        <v>0</v>
      </c>
      <c r="F385" s="23">
        <v>0</v>
      </c>
      <c r="G385" s="19">
        <v>0</v>
      </c>
      <c r="H385" s="19">
        <v>0</v>
      </c>
      <c r="I385" s="19">
        <v>0</v>
      </c>
      <c r="J385" s="19">
        <v>0</v>
      </c>
      <c r="K385" s="268"/>
      <c r="L385" s="261"/>
    </row>
    <row r="386" spans="1:12" ht="16.5" x14ac:dyDescent="0.25">
      <c r="A386" s="343"/>
      <c r="B386" s="271"/>
      <c r="C386" s="265"/>
      <c r="D386" s="214">
        <v>2024</v>
      </c>
      <c r="E386" s="19">
        <f t="shared" si="16"/>
        <v>0</v>
      </c>
      <c r="F386" s="23">
        <v>0</v>
      </c>
      <c r="G386" s="19">
        <v>0</v>
      </c>
      <c r="H386" s="178">
        <v>0</v>
      </c>
      <c r="I386" s="19">
        <v>0</v>
      </c>
      <c r="J386" s="19">
        <v>0</v>
      </c>
      <c r="K386" s="268"/>
      <c r="L386" s="261"/>
    </row>
    <row r="387" spans="1:12" ht="16.5" x14ac:dyDescent="0.25">
      <c r="A387" s="343"/>
      <c r="B387" s="271"/>
      <c r="C387" s="265"/>
      <c r="D387" s="214">
        <v>2025</v>
      </c>
      <c r="E387" s="19">
        <f t="shared" si="16"/>
        <v>0</v>
      </c>
      <c r="F387" s="23">
        <v>0</v>
      </c>
      <c r="G387" s="19">
        <v>0</v>
      </c>
      <c r="H387" s="138"/>
      <c r="I387" s="19">
        <v>0</v>
      </c>
      <c r="J387" s="19">
        <v>0</v>
      </c>
      <c r="K387" s="268"/>
      <c r="L387" s="261"/>
    </row>
    <row r="388" spans="1:12" ht="17.25" thickBot="1" x14ac:dyDescent="0.3">
      <c r="A388" s="344"/>
      <c r="B388" s="272"/>
      <c r="C388" s="226"/>
      <c r="D388" s="118">
        <v>2026</v>
      </c>
      <c r="E388" s="22">
        <f t="shared" si="16"/>
        <v>0</v>
      </c>
      <c r="F388" s="24">
        <v>0</v>
      </c>
      <c r="G388" s="22">
        <v>0</v>
      </c>
      <c r="H388" s="139"/>
      <c r="I388" s="22">
        <v>0</v>
      </c>
      <c r="J388" s="22">
        <v>0</v>
      </c>
      <c r="K388" s="269"/>
      <c r="L388" s="262"/>
    </row>
    <row r="389" spans="1:12" ht="16.5" x14ac:dyDescent="0.25">
      <c r="A389" s="342" t="s">
        <v>101</v>
      </c>
      <c r="B389" s="270" t="s">
        <v>102</v>
      </c>
      <c r="C389" s="266" t="e">
        <f>#REF!+#REF!+#REF!+#REF!+#REF!+#REF!+#REF!+#REF!</f>
        <v>#REF!</v>
      </c>
      <c r="D389" s="5">
        <v>2018</v>
      </c>
      <c r="E389" s="21">
        <f t="shared" si="16"/>
        <v>0</v>
      </c>
      <c r="F389" s="21">
        <v>0</v>
      </c>
      <c r="G389" s="21">
        <v>0</v>
      </c>
      <c r="H389" s="21">
        <v>0</v>
      </c>
      <c r="I389" s="21">
        <v>0</v>
      </c>
      <c r="J389" s="21">
        <v>0</v>
      </c>
      <c r="K389" s="267" t="s">
        <v>103</v>
      </c>
      <c r="L389" s="260" t="s">
        <v>12</v>
      </c>
    </row>
    <row r="390" spans="1:12" ht="16.5" x14ac:dyDescent="0.25">
      <c r="A390" s="343"/>
      <c r="B390" s="271"/>
      <c r="C390" s="265"/>
      <c r="D390" s="4">
        <v>2019</v>
      </c>
      <c r="E390" s="19">
        <f t="shared" si="16"/>
        <v>0</v>
      </c>
      <c r="F390" s="19">
        <v>0</v>
      </c>
      <c r="G390" s="19">
        <v>0</v>
      </c>
      <c r="H390" s="19">
        <v>0</v>
      </c>
      <c r="I390" s="19">
        <v>0</v>
      </c>
      <c r="J390" s="19">
        <v>0</v>
      </c>
      <c r="K390" s="268"/>
      <c r="L390" s="261"/>
    </row>
    <row r="391" spans="1:12" ht="16.5" x14ac:dyDescent="0.25">
      <c r="A391" s="343"/>
      <c r="B391" s="271"/>
      <c r="C391" s="265"/>
      <c r="D391" s="214">
        <v>2020</v>
      </c>
      <c r="E391" s="19">
        <f t="shared" si="16"/>
        <v>0</v>
      </c>
      <c r="F391" s="44">
        <v>0</v>
      </c>
      <c r="G391" s="45">
        <v>0</v>
      </c>
      <c r="H391" s="45">
        <v>0</v>
      </c>
      <c r="I391" s="45">
        <v>0</v>
      </c>
      <c r="J391" s="45">
        <v>0</v>
      </c>
      <c r="K391" s="268"/>
      <c r="L391" s="261"/>
    </row>
    <row r="392" spans="1:12" ht="16.5" x14ac:dyDescent="0.25">
      <c r="A392" s="343"/>
      <c r="B392" s="271"/>
      <c r="C392" s="265"/>
      <c r="D392" s="214">
        <v>2021</v>
      </c>
      <c r="E392" s="19">
        <f t="shared" si="16"/>
        <v>0</v>
      </c>
      <c r="F392" s="44">
        <v>0</v>
      </c>
      <c r="G392" s="45">
        <v>0</v>
      </c>
      <c r="H392" s="45">
        <v>0</v>
      </c>
      <c r="I392" s="45">
        <v>0</v>
      </c>
      <c r="J392" s="45">
        <v>0</v>
      </c>
      <c r="K392" s="268"/>
      <c r="L392" s="261"/>
    </row>
    <row r="393" spans="1:12" ht="22.5" customHeight="1" x14ac:dyDescent="0.25">
      <c r="A393" s="343"/>
      <c r="B393" s="271"/>
      <c r="C393" s="265"/>
      <c r="D393" s="214">
        <v>2022</v>
      </c>
      <c r="E393" s="19">
        <f t="shared" si="16"/>
        <v>7283.5</v>
      </c>
      <c r="F393" s="44">
        <v>0</v>
      </c>
      <c r="G393" s="45">
        <f>4018-3</f>
        <v>4015</v>
      </c>
      <c r="H393" s="45">
        <f>2978+292.8-2-0.3</f>
        <v>3268.5</v>
      </c>
      <c r="I393" s="45">
        <f>446.5-0.3</f>
        <v>446.2</v>
      </c>
      <c r="J393" s="45">
        <v>0</v>
      </c>
      <c r="K393" s="268"/>
      <c r="L393" s="261"/>
    </row>
    <row r="394" spans="1:12" ht="20.25" customHeight="1" x14ac:dyDescent="0.25">
      <c r="A394" s="343"/>
      <c r="B394" s="271"/>
      <c r="C394" s="265"/>
      <c r="D394" s="214">
        <v>2023</v>
      </c>
      <c r="E394" s="19">
        <f t="shared" si="16"/>
        <v>0</v>
      </c>
      <c r="F394" s="23">
        <v>0</v>
      </c>
      <c r="G394" s="19">
        <v>0</v>
      </c>
      <c r="H394" s="19">
        <v>0</v>
      </c>
      <c r="I394" s="19">
        <v>0</v>
      </c>
      <c r="J394" s="19">
        <v>0</v>
      </c>
      <c r="K394" s="268"/>
      <c r="L394" s="261"/>
    </row>
    <row r="395" spans="1:12" ht="21" customHeight="1" x14ac:dyDescent="0.25">
      <c r="A395" s="343"/>
      <c r="B395" s="271"/>
      <c r="C395" s="265"/>
      <c r="D395" s="214">
        <v>2024</v>
      </c>
      <c r="E395" s="19">
        <f t="shared" si="16"/>
        <v>0</v>
      </c>
      <c r="F395" s="23">
        <v>0</v>
      </c>
      <c r="G395" s="19">
        <v>0</v>
      </c>
      <c r="H395" s="138">
        <v>0</v>
      </c>
      <c r="I395" s="138">
        <v>0</v>
      </c>
      <c r="J395" s="19">
        <v>0</v>
      </c>
      <c r="K395" s="268"/>
      <c r="L395" s="261"/>
    </row>
    <row r="396" spans="1:12" ht="16.5" x14ac:dyDescent="0.25">
      <c r="A396" s="343"/>
      <c r="B396" s="271"/>
      <c r="C396" s="265"/>
      <c r="D396" s="214">
        <v>2025</v>
      </c>
      <c r="E396" s="19">
        <f t="shared" si="16"/>
        <v>0</v>
      </c>
      <c r="F396" s="23">
        <v>0</v>
      </c>
      <c r="G396" s="19">
        <v>0</v>
      </c>
      <c r="H396" s="138">
        <v>0</v>
      </c>
      <c r="I396" s="138">
        <v>0</v>
      </c>
      <c r="J396" s="19">
        <v>0</v>
      </c>
      <c r="K396" s="268"/>
      <c r="L396" s="261"/>
    </row>
    <row r="397" spans="1:12" ht="22.5" customHeight="1" thickBot="1" x14ac:dyDescent="0.3">
      <c r="A397" s="344"/>
      <c r="B397" s="272"/>
      <c r="C397" s="226"/>
      <c r="D397" s="118">
        <v>2026</v>
      </c>
      <c r="E397" s="22">
        <f t="shared" si="16"/>
        <v>0</v>
      </c>
      <c r="F397" s="24">
        <v>0</v>
      </c>
      <c r="G397" s="22">
        <v>0</v>
      </c>
      <c r="H397" s="139">
        <v>0</v>
      </c>
      <c r="I397" s="139">
        <v>0</v>
      </c>
      <c r="J397" s="22">
        <v>0</v>
      </c>
      <c r="K397" s="269"/>
      <c r="L397" s="262"/>
    </row>
    <row r="398" spans="1:12" ht="16.5" x14ac:dyDescent="0.25">
      <c r="A398" s="342" t="s">
        <v>104</v>
      </c>
      <c r="B398" s="270" t="s">
        <v>105</v>
      </c>
      <c r="C398" s="266" t="e">
        <f>#REF!+#REF!+#REF!+#REF!+#REF!+#REF!+#REF!+#REF!</f>
        <v>#REF!</v>
      </c>
      <c r="D398" s="5">
        <v>2018</v>
      </c>
      <c r="E398" s="21">
        <f t="shared" si="16"/>
        <v>2756.1</v>
      </c>
      <c r="F398" s="21">
        <v>0</v>
      </c>
      <c r="G398" s="21">
        <v>0</v>
      </c>
      <c r="H398" s="21">
        <v>2756.1</v>
      </c>
      <c r="I398" s="21">
        <v>0</v>
      </c>
      <c r="J398" s="21">
        <v>0</v>
      </c>
      <c r="K398" s="267" t="s">
        <v>106</v>
      </c>
      <c r="L398" s="260" t="s">
        <v>38</v>
      </c>
    </row>
    <row r="399" spans="1:12" ht="16.5" x14ac:dyDescent="0.25">
      <c r="A399" s="343"/>
      <c r="B399" s="271"/>
      <c r="C399" s="265"/>
      <c r="D399" s="4">
        <v>2019</v>
      </c>
      <c r="E399" s="19">
        <f t="shared" ref="E399:E471" si="17">F399+G399+H399+J399</f>
        <v>1148.3</v>
      </c>
      <c r="F399" s="19">
        <v>0</v>
      </c>
      <c r="G399" s="19">
        <v>0</v>
      </c>
      <c r="H399" s="19">
        <v>1148.3</v>
      </c>
      <c r="I399" s="19">
        <v>0</v>
      </c>
      <c r="J399" s="19">
        <v>0</v>
      </c>
      <c r="K399" s="268"/>
      <c r="L399" s="261"/>
    </row>
    <row r="400" spans="1:12" ht="16.5" x14ac:dyDescent="0.25">
      <c r="A400" s="343"/>
      <c r="B400" s="271"/>
      <c r="C400" s="265"/>
      <c r="D400" s="214">
        <v>2020</v>
      </c>
      <c r="E400" s="19">
        <f t="shared" si="17"/>
        <v>0</v>
      </c>
      <c r="F400" s="23">
        <v>0</v>
      </c>
      <c r="G400" s="19">
        <v>0</v>
      </c>
      <c r="H400" s="19">
        <v>0</v>
      </c>
      <c r="I400" s="19">
        <v>0</v>
      </c>
      <c r="J400" s="19">
        <v>0</v>
      </c>
      <c r="K400" s="268"/>
      <c r="L400" s="261"/>
    </row>
    <row r="401" spans="1:12" ht="16.5" x14ac:dyDescent="0.25">
      <c r="A401" s="343"/>
      <c r="B401" s="271"/>
      <c r="C401" s="265"/>
      <c r="D401" s="214">
        <v>2021</v>
      </c>
      <c r="E401" s="19">
        <f t="shared" si="17"/>
        <v>0</v>
      </c>
      <c r="F401" s="23">
        <v>0</v>
      </c>
      <c r="G401" s="19">
        <v>0</v>
      </c>
      <c r="H401" s="19">
        <v>0</v>
      </c>
      <c r="I401" s="19">
        <v>0</v>
      </c>
      <c r="J401" s="19">
        <v>0</v>
      </c>
      <c r="K401" s="268"/>
      <c r="L401" s="261"/>
    </row>
    <row r="402" spans="1:12" ht="16.5" x14ac:dyDescent="0.25">
      <c r="A402" s="343"/>
      <c r="B402" s="271"/>
      <c r="C402" s="265"/>
      <c r="D402" s="214">
        <v>2022</v>
      </c>
      <c r="E402" s="19">
        <f t="shared" si="17"/>
        <v>0</v>
      </c>
      <c r="F402" s="23">
        <v>0</v>
      </c>
      <c r="G402" s="19">
        <v>0</v>
      </c>
      <c r="H402" s="19">
        <v>0</v>
      </c>
      <c r="I402" s="19">
        <v>0</v>
      </c>
      <c r="J402" s="19">
        <v>0</v>
      </c>
      <c r="K402" s="268"/>
      <c r="L402" s="261"/>
    </row>
    <row r="403" spans="1:12" ht="16.5" x14ac:dyDescent="0.25">
      <c r="A403" s="343"/>
      <c r="B403" s="271"/>
      <c r="C403" s="265"/>
      <c r="D403" s="214">
        <v>2023</v>
      </c>
      <c r="E403" s="19">
        <f t="shared" si="17"/>
        <v>0</v>
      </c>
      <c r="F403" s="23">
        <v>0</v>
      </c>
      <c r="G403" s="19">
        <v>0</v>
      </c>
      <c r="H403" s="19">
        <v>0</v>
      </c>
      <c r="I403" s="19">
        <v>0</v>
      </c>
      <c r="J403" s="19">
        <v>0</v>
      </c>
      <c r="K403" s="268"/>
      <c r="L403" s="261"/>
    </row>
    <row r="404" spans="1:12" ht="16.5" x14ac:dyDescent="0.25">
      <c r="A404" s="343"/>
      <c r="B404" s="271"/>
      <c r="C404" s="265"/>
      <c r="D404" s="214">
        <v>2024</v>
      </c>
      <c r="E404" s="19">
        <f t="shared" si="17"/>
        <v>0</v>
      </c>
      <c r="F404" s="23">
        <v>0</v>
      </c>
      <c r="G404" s="19">
        <v>0</v>
      </c>
      <c r="H404" s="19">
        <v>0</v>
      </c>
      <c r="I404" s="19">
        <v>0</v>
      </c>
      <c r="J404" s="19">
        <v>0</v>
      </c>
      <c r="K404" s="268"/>
      <c r="L404" s="261"/>
    </row>
    <row r="405" spans="1:12" ht="16.5" x14ac:dyDescent="0.25">
      <c r="A405" s="343"/>
      <c r="B405" s="271"/>
      <c r="C405" s="265"/>
      <c r="D405" s="214">
        <v>2025</v>
      </c>
      <c r="E405" s="19">
        <f t="shared" si="17"/>
        <v>0</v>
      </c>
      <c r="F405" s="23">
        <v>0</v>
      </c>
      <c r="G405" s="19">
        <v>0</v>
      </c>
      <c r="H405" s="19">
        <v>0</v>
      </c>
      <c r="I405" s="19">
        <v>0</v>
      </c>
      <c r="J405" s="19">
        <v>0</v>
      </c>
      <c r="K405" s="268"/>
      <c r="L405" s="261"/>
    </row>
    <row r="406" spans="1:12" ht="20.25" customHeight="1" thickBot="1" x14ac:dyDescent="0.3">
      <c r="A406" s="344"/>
      <c r="B406" s="272"/>
      <c r="C406" s="226"/>
      <c r="D406" s="118">
        <v>2026</v>
      </c>
      <c r="E406" s="22">
        <f t="shared" si="17"/>
        <v>0</v>
      </c>
      <c r="F406" s="24">
        <v>0</v>
      </c>
      <c r="G406" s="22">
        <v>0</v>
      </c>
      <c r="H406" s="22">
        <v>0</v>
      </c>
      <c r="I406" s="22">
        <v>0</v>
      </c>
      <c r="J406" s="22">
        <v>0</v>
      </c>
      <c r="K406" s="269"/>
      <c r="L406" s="262"/>
    </row>
    <row r="407" spans="1:12" ht="12" customHeight="1" x14ac:dyDescent="0.25">
      <c r="A407" s="342" t="s">
        <v>107</v>
      </c>
      <c r="B407" s="270" t="s">
        <v>108</v>
      </c>
      <c r="C407" s="266" t="e">
        <f>#REF!+#REF!+#REF!+#REF!+#REF!+#REF!+#REF!+#REF!</f>
        <v>#REF!</v>
      </c>
      <c r="D407" s="5">
        <v>2018</v>
      </c>
      <c r="E407" s="21">
        <f t="shared" si="17"/>
        <v>0</v>
      </c>
      <c r="F407" s="21">
        <v>0</v>
      </c>
      <c r="G407" s="21">
        <v>0</v>
      </c>
      <c r="H407" s="21">
        <v>0</v>
      </c>
      <c r="I407" s="21">
        <v>0</v>
      </c>
      <c r="J407" s="21">
        <v>0</v>
      </c>
      <c r="K407" s="267" t="s">
        <v>200</v>
      </c>
      <c r="L407" s="260" t="s">
        <v>38</v>
      </c>
    </row>
    <row r="408" spans="1:12" ht="16.5" x14ac:dyDescent="0.25">
      <c r="A408" s="343"/>
      <c r="B408" s="271"/>
      <c r="C408" s="265"/>
      <c r="D408" s="4">
        <v>2019</v>
      </c>
      <c r="E408" s="19">
        <f t="shared" si="17"/>
        <v>0</v>
      </c>
      <c r="F408" s="19">
        <v>0</v>
      </c>
      <c r="G408" s="19">
        <v>0</v>
      </c>
      <c r="H408" s="19">
        <v>0</v>
      </c>
      <c r="I408" s="19">
        <v>0</v>
      </c>
      <c r="J408" s="19">
        <v>0</v>
      </c>
      <c r="K408" s="268"/>
      <c r="L408" s="261"/>
    </row>
    <row r="409" spans="1:12" ht="16.5" x14ac:dyDescent="0.25">
      <c r="A409" s="343"/>
      <c r="B409" s="271"/>
      <c r="C409" s="265"/>
      <c r="D409" s="214">
        <v>2020</v>
      </c>
      <c r="E409" s="19">
        <f t="shared" si="17"/>
        <v>1575.9</v>
      </c>
      <c r="F409" s="23">
        <v>0</v>
      </c>
      <c r="G409" s="19">
        <v>0</v>
      </c>
      <c r="H409" s="19">
        <v>1575.9</v>
      </c>
      <c r="I409" s="19">
        <v>0</v>
      </c>
      <c r="J409" s="19">
        <v>0</v>
      </c>
      <c r="K409" s="268"/>
      <c r="L409" s="261"/>
    </row>
    <row r="410" spans="1:12" ht="16.5" x14ac:dyDescent="0.25">
      <c r="A410" s="343"/>
      <c r="B410" s="271"/>
      <c r="C410" s="265"/>
      <c r="D410" s="214">
        <v>2021</v>
      </c>
      <c r="E410" s="19">
        <f t="shared" si="17"/>
        <v>1613.8</v>
      </c>
      <c r="F410" s="23">
        <v>0</v>
      </c>
      <c r="G410" s="19">
        <v>0</v>
      </c>
      <c r="H410" s="19">
        <v>1613.8</v>
      </c>
      <c r="I410" s="19">
        <v>0</v>
      </c>
      <c r="J410" s="19">
        <v>0</v>
      </c>
      <c r="K410" s="268"/>
      <c r="L410" s="261"/>
    </row>
    <row r="411" spans="1:12" ht="21" customHeight="1" x14ac:dyDescent="0.25">
      <c r="A411" s="343"/>
      <c r="B411" s="271"/>
      <c r="C411" s="265"/>
      <c r="D411" s="214">
        <v>2022</v>
      </c>
      <c r="E411" s="19">
        <f t="shared" si="17"/>
        <v>1505.8999999999999</v>
      </c>
      <c r="F411" s="23">
        <v>0</v>
      </c>
      <c r="G411" s="19">
        <v>0</v>
      </c>
      <c r="H411" s="19">
        <f>1667.1-46.5-114.7</f>
        <v>1505.8999999999999</v>
      </c>
      <c r="I411" s="19">
        <v>0</v>
      </c>
      <c r="J411" s="19">
        <v>0</v>
      </c>
      <c r="K411" s="268"/>
      <c r="L411" s="261"/>
    </row>
    <row r="412" spans="1:12" ht="24.75" customHeight="1" x14ac:dyDescent="0.25">
      <c r="A412" s="343"/>
      <c r="B412" s="271"/>
      <c r="C412" s="265"/>
      <c r="D412" s="214">
        <v>2023</v>
      </c>
      <c r="E412" s="19">
        <f t="shared" si="17"/>
        <v>1273.0999999999999</v>
      </c>
      <c r="F412" s="23">
        <v>0</v>
      </c>
      <c r="G412" s="19">
        <v>0</v>
      </c>
      <c r="H412" s="19">
        <f>1710.3-214.9-84-138.3</f>
        <v>1273.0999999999999</v>
      </c>
      <c r="I412" s="19">
        <v>0</v>
      </c>
      <c r="J412" s="19">
        <v>0</v>
      </c>
      <c r="K412" s="268"/>
      <c r="L412" s="261"/>
    </row>
    <row r="413" spans="1:12" ht="21" customHeight="1" x14ac:dyDescent="0.25">
      <c r="A413" s="343"/>
      <c r="B413" s="271"/>
      <c r="C413" s="265"/>
      <c r="D413" s="214">
        <v>2024</v>
      </c>
      <c r="E413" s="19">
        <f t="shared" si="17"/>
        <v>1835.4</v>
      </c>
      <c r="F413" s="23">
        <v>0</v>
      </c>
      <c r="G413" s="19">
        <v>0</v>
      </c>
      <c r="H413" s="178">
        <v>1835.4</v>
      </c>
      <c r="I413" s="19">
        <v>0</v>
      </c>
      <c r="J413" s="19">
        <v>0</v>
      </c>
      <c r="K413" s="268"/>
      <c r="L413" s="261"/>
    </row>
    <row r="414" spans="1:12" ht="20.25" customHeight="1" x14ac:dyDescent="0.25">
      <c r="A414" s="343"/>
      <c r="B414" s="271"/>
      <c r="C414" s="265"/>
      <c r="D414" s="214">
        <v>2025</v>
      </c>
      <c r="E414" s="19">
        <f t="shared" si="17"/>
        <v>1835.4</v>
      </c>
      <c r="F414" s="23">
        <v>0</v>
      </c>
      <c r="G414" s="19">
        <v>0</v>
      </c>
      <c r="H414" s="138">
        <f>1835.4</f>
        <v>1835.4</v>
      </c>
      <c r="I414" s="19">
        <v>0</v>
      </c>
      <c r="J414" s="19">
        <v>0</v>
      </c>
      <c r="K414" s="268"/>
      <c r="L414" s="261"/>
    </row>
    <row r="415" spans="1:12" ht="17.25" thickBot="1" x14ac:dyDescent="0.3">
      <c r="A415" s="344"/>
      <c r="B415" s="272"/>
      <c r="C415" s="226"/>
      <c r="D415" s="118">
        <v>2026</v>
      </c>
      <c r="E415" s="22">
        <f t="shared" si="17"/>
        <v>1835.4</v>
      </c>
      <c r="F415" s="24">
        <v>0</v>
      </c>
      <c r="G415" s="22">
        <v>0</v>
      </c>
      <c r="H415" s="139">
        <f>1835.4</f>
        <v>1835.4</v>
      </c>
      <c r="I415" s="22">
        <v>0</v>
      </c>
      <c r="J415" s="22">
        <v>0</v>
      </c>
      <c r="K415" s="269"/>
      <c r="L415" s="262"/>
    </row>
    <row r="416" spans="1:12" ht="17.25" thickBot="1" x14ac:dyDescent="0.3">
      <c r="A416" s="40">
        <v>1</v>
      </c>
      <c r="B416" s="15">
        <v>2</v>
      </c>
      <c r="C416" s="15"/>
      <c r="D416" s="15">
        <v>3</v>
      </c>
      <c r="E416" s="15">
        <v>4</v>
      </c>
      <c r="F416" s="15">
        <v>5</v>
      </c>
      <c r="G416" s="15">
        <v>6</v>
      </c>
      <c r="H416" s="15">
        <v>7</v>
      </c>
      <c r="I416" s="15">
        <v>8</v>
      </c>
      <c r="J416" s="15">
        <v>9</v>
      </c>
      <c r="K416" s="134">
        <v>10</v>
      </c>
      <c r="L416" s="134">
        <v>11</v>
      </c>
    </row>
    <row r="417" spans="1:12" ht="16.5" x14ac:dyDescent="0.25">
      <c r="A417" s="342" t="s">
        <v>109</v>
      </c>
      <c r="B417" s="270" t="s">
        <v>110</v>
      </c>
      <c r="C417" s="266" t="e">
        <f>#REF!+#REF!+#REF!+#REF!+#REF!+#REF!+#REF!+#REF!</f>
        <v>#REF!</v>
      </c>
      <c r="D417" s="5">
        <v>2018</v>
      </c>
      <c r="E417" s="21">
        <f t="shared" si="17"/>
        <v>20.9</v>
      </c>
      <c r="F417" s="21">
        <v>0</v>
      </c>
      <c r="G417" s="21">
        <v>0</v>
      </c>
      <c r="H417" s="21">
        <v>20.9</v>
      </c>
      <c r="I417" s="21">
        <v>0</v>
      </c>
      <c r="J417" s="21">
        <v>0</v>
      </c>
      <c r="K417" s="267" t="s">
        <v>111</v>
      </c>
      <c r="L417" s="260" t="s">
        <v>38</v>
      </c>
    </row>
    <row r="418" spans="1:12" ht="16.5" x14ac:dyDescent="0.25">
      <c r="A418" s="343"/>
      <c r="B418" s="271"/>
      <c r="C418" s="265"/>
      <c r="D418" s="4">
        <v>2019</v>
      </c>
      <c r="E418" s="19">
        <f t="shared" si="17"/>
        <v>0</v>
      </c>
      <c r="F418" s="19">
        <v>0</v>
      </c>
      <c r="G418" s="19">
        <v>0</v>
      </c>
      <c r="H418" s="19">
        <v>0</v>
      </c>
      <c r="I418" s="19">
        <v>0</v>
      </c>
      <c r="J418" s="19">
        <v>0</v>
      </c>
      <c r="K418" s="268"/>
      <c r="L418" s="261"/>
    </row>
    <row r="419" spans="1:12" ht="16.5" x14ac:dyDescent="0.25">
      <c r="A419" s="343"/>
      <c r="B419" s="271"/>
      <c r="C419" s="265"/>
      <c r="D419" s="214">
        <v>2020</v>
      </c>
      <c r="E419" s="19">
        <f t="shared" si="17"/>
        <v>0</v>
      </c>
      <c r="F419" s="23">
        <v>0</v>
      </c>
      <c r="G419" s="19">
        <v>0</v>
      </c>
      <c r="H419" s="19">
        <v>0</v>
      </c>
      <c r="I419" s="19">
        <v>0</v>
      </c>
      <c r="J419" s="19">
        <v>0</v>
      </c>
      <c r="K419" s="268"/>
      <c r="L419" s="261"/>
    </row>
    <row r="420" spans="1:12" ht="16.5" x14ac:dyDescent="0.25">
      <c r="A420" s="343"/>
      <c r="B420" s="271"/>
      <c r="C420" s="265"/>
      <c r="D420" s="214">
        <v>2021</v>
      </c>
      <c r="E420" s="19">
        <f t="shared" si="17"/>
        <v>0</v>
      </c>
      <c r="F420" s="23">
        <v>0</v>
      </c>
      <c r="G420" s="19">
        <v>0</v>
      </c>
      <c r="H420" s="19">
        <v>0</v>
      </c>
      <c r="I420" s="19">
        <v>0</v>
      </c>
      <c r="J420" s="19">
        <v>0</v>
      </c>
      <c r="K420" s="268"/>
      <c r="L420" s="261"/>
    </row>
    <row r="421" spans="1:12" ht="16.5" x14ac:dyDescent="0.25">
      <c r="A421" s="343"/>
      <c r="B421" s="271"/>
      <c r="C421" s="265"/>
      <c r="D421" s="214">
        <v>2022</v>
      </c>
      <c r="E421" s="19">
        <f t="shared" si="17"/>
        <v>0</v>
      </c>
      <c r="F421" s="23">
        <v>0</v>
      </c>
      <c r="G421" s="19">
        <v>0</v>
      </c>
      <c r="H421" s="19">
        <v>0</v>
      </c>
      <c r="I421" s="19">
        <v>0</v>
      </c>
      <c r="J421" s="19">
        <v>0</v>
      </c>
      <c r="K421" s="268"/>
      <c r="L421" s="261"/>
    </row>
    <row r="422" spans="1:12" ht="16.5" x14ac:dyDescent="0.25">
      <c r="A422" s="343"/>
      <c r="B422" s="271"/>
      <c r="C422" s="265"/>
      <c r="D422" s="214">
        <v>2023</v>
      </c>
      <c r="E422" s="19">
        <f t="shared" si="17"/>
        <v>0</v>
      </c>
      <c r="F422" s="23">
        <v>0</v>
      </c>
      <c r="G422" s="19">
        <v>0</v>
      </c>
      <c r="H422" s="19">
        <v>0</v>
      </c>
      <c r="I422" s="19">
        <v>0</v>
      </c>
      <c r="J422" s="19">
        <v>0</v>
      </c>
      <c r="K422" s="268"/>
      <c r="L422" s="261"/>
    </row>
    <row r="423" spans="1:12" ht="16.5" x14ac:dyDescent="0.25">
      <c r="A423" s="343"/>
      <c r="B423" s="271"/>
      <c r="C423" s="265"/>
      <c r="D423" s="214">
        <v>2024</v>
      </c>
      <c r="E423" s="19">
        <f t="shared" si="17"/>
        <v>0</v>
      </c>
      <c r="F423" s="23">
        <v>0</v>
      </c>
      <c r="G423" s="19">
        <v>0</v>
      </c>
      <c r="H423" s="19">
        <v>0</v>
      </c>
      <c r="I423" s="19">
        <v>0</v>
      </c>
      <c r="J423" s="19">
        <v>0</v>
      </c>
      <c r="K423" s="268"/>
      <c r="L423" s="261"/>
    </row>
    <row r="424" spans="1:12" ht="16.5" x14ac:dyDescent="0.25">
      <c r="A424" s="343"/>
      <c r="B424" s="271"/>
      <c r="C424" s="265"/>
      <c r="D424" s="214">
        <v>2025</v>
      </c>
      <c r="E424" s="19">
        <f t="shared" si="17"/>
        <v>0</v>
      </c>
      <c r="F424" s="23">
        <v>0</v>
      </c>
      <c r="G424" s="19">
        <v>0</v>
      </c>
      <c r="H424" s="19">
        <v>0</v>
      </c>
      <c r="I424" s="19">
        <v>0</v>
      </c>
      <c r="J424" s="19">
        <v>0</v>
      </c>
      <c r="K424" s="268"/>
      <c r="L424" s="261"/>
    </row>
    <row r="425" spans="1:12" ht="17.25" thickBot="1" x14ac:dyDescent="0.3">
      <c r="A425" s="344"/>
      <c r="B425" s="272"/>
      <c r="C425" s="226"/>
      <c r="D425" s="118">
        <v>2026</v>
      </c>
      <c r="E425" s="22">
        <f t="shared" si="17"/>
        <v>0</v>
      </c>
      <c r="F425" s="24">
        <v>0</v>
      </c>
      <c r="G425" s="22">
        <v>0</v>
      </c>
      <c r="H425" s="22">
        <v>0</v>
      </c>
      <c r="I425" s="22">
        <v>0</v>
      </c>
      <c r="J425" s="22">
        <v>0</v>
      </c>
      <c r="K425" s="269"/>
      <c r="L425" s="262"/>
    </row>
    <row r="426" spans="1:12" ht="16.5" x14ac:dyDescent="0.25">
      <c r="A426" s="342" t="s">
        <v>112</v>
      </c>
      <c r="B426" s="270" t="s">
        <v>113</v>
      </c>
      <c r="C426" s="266" t="e">
        <f>#REF!+#REF!+#REF!+#REF!+#REF!+#REF!+#REF!+#REF!</f>
        <v>#REF!</v>
      </c>
      <c r="D426" s="5">
        <v>2018</v>
      </c>
      <c r="E426" s="21">
        <f t="shared" si="17"/>
        <v>2800</v>
      </c>
      <c r="F426" s="21">
        <v>0</v>
      </c>
      <c r="G426" s="21">
        <v>2800</v>
      </c>
      <c r="H426" s="21">
        <v>0</v>
      </c>
      <c r="I426" s="21">
        <v>0</v>
      </c>
      <c r="J426" s="21">
        <v>0</v>
      </c>
      <c r="K426" s="267" t="s">
        <v>314</v>
      </c>
      <c r="L426" s="260" t="s">
        <v>114</v>
      </c>
    </row>
    <row r="427" spans="1:12" ht="16.5" x14ac:dyDescent="0.25">
      <c r="A427" s="343"/>
      <c r="B427" s="271"/>
      <c r="C427" s="265"/>
      <c r="D427" s="4">
        <v>2019</v>
      </c>
      <c r="E427" s="19">
        <f t="shared" si="17"/>
        <v>2900</v>
      </c>
      <c r="F427" s="19">
        <v>0</v>
      </c>
      <c r="G427" s="19">
        <v>2900</v>
      </c>
      <c r="H427" s="19">
        <v>0</v>
      </c>
      <c r="I427" s="19">
        <v>0</v>
      </c>
      <c r="J427" s="19">
        <v>0</v>
      </c>
      <c r="K427" s="268"/>
      <c r="L427" s="261"/>
    </row>
    <row r="428" spans="1:12" ht="16.5" x14ac:dyDescent="0.25">
      <c r="A428" s="343"/>
      <c r="B428" s="271"/>
      <c r="C428" s="265"/>
      <c r="D428" s="214">
        <v>2020</v>
      </c>
      <c r="E428" s="19">
        <f t="shared" si="17"/>
        <v>2361.5</v>
      </c>
      <c r="F428" s="23">
        <v>0</v>
      </c>
      <c r="G428" s="19">
        <v>2361.5</v>
      </c>
      <c r="H428" s="19">
        <v>0</v>
      </c>
      <c r="I428" s="19">
        <v>0</v>
      </c>
      <c r="J428" s="19">
        <v>0</v>
      </c>
      <c r="K428" s="268"/>
      <c r="L428" s="261"/>
    </row>
    <row r="429" spans="1:12" ht="16.5" x14ac:dyDescent="0.25">
      <c r="A429" s="343"/>
      <c r="B429" s="271"/>
      <c r="C429" s="265"/>
      <c r="D429" s="214">
        <v>2021</v>
      </c>
      <c r="E429" s="19">
        <f t="shared" si="17"/>
        <v>919.3</v>
      </c>
      <c r="F429" s="23">
        <v>0</v>
      </c>
      <c r="G429" s="19">
        <v>919.3</v>
      </c>
      <c r="H429" s="19">
        <v>0</v>
      </c>
      <c r="I429" s="19">
        <v>0</v>
      </c>
      <c r="J429" s="19">
        <v>0</v>
      </c>
      <c r="K429" s="268"/>
      <c r="L429" s="261"/>
    </row>
    <row r="430" spans="1:12" ht="16.5" x14ac:dyDescent="0.25">
      <c r="A430" s="343"/>
      <c r="B430" s="271"/>
      <c r="C430" s="265"/>
      <c r="D430" s="214">
        <v>2022</v>
      </c>
      <c r="E430" s="19">
        <f t="shared" si="17"/>
        <v>990.6</v>
      </c>
      <c r="F430" s="23">
        <v>0</v>
      </c>
      <c r="G430" s="19">
        <f>1190.5-199.9</f>
        <v>990.6</v>
      </c>
      <c r="H430" s="19">
        <v>0</v>
      </c>
      <c r="I430" s="19">
        <v>0</v>
      </c>
      <c r="J430" s="19">
        <v>0</v>
      </c>
      <c r="K430" s="268"/>
      <c r="L430" s="261"/>
    </row>
    <row r="431" spans="1:12" ht="16.5" x14ac:dyDescent="0.25">
      <c r="A431" s="343"/>
      <c r="B431" s="271"/>
      <c r="C431" s="265"/>
      <c r="D431" s="214">
        <v>2023</v>
      </c>
      <c r="E431" s="19">
        <f t="shared" si="17"/>
        <v>964</v>
      </c>
      <c r="F431" s="23">
        <v>0</v>
      </c>
      <c r="G431" s="19">
        <f>1065.8-101.8</f>
        <v>964</v>
      </c>
      <c r="H431" s="19">
        <v>0</v>
      </c>
      <c r="I431" s="19">
        <v>0</v>
      </c>
      <c r="J431" s="19">
        <v>0</v>
      </c>
      <c r="K431" s="268"/>
      <c r="L431" s="261"/>
    </row>
    <row r="432" spans="1:12" ht="16.5" x14ac:dyDescent="0.25">
      <c r="A432" s="343"/>
      <c r="B432" s="271"/>
      <c r="C432" s="265"/>
      <c r="D432" s="214">
        <v>2024</v>
      </c>
      <c r="E432" s="19">
        <f t="shared" si="17"/>
        <v>1071.8</v>
      </c>
      <c r="F432" s="23">
        <v>0</v>
      </c>
      <c r="G432" s="19">
        <v>1071.8</v>
      </c>
      <c r="H432" s="19">
        <v>0</v>
      </c>
      <c r="I432" s="19">
        <v>0</v>
      </c>
      <c r="J432" s="19">
        <v>0</v>
      </c>
      <c r="K432" s="268"/>
      <c r="L432" s="261"/>
    </row>
    <row r="433" spans="1:12" ht="16.5" x14ac:dyDescent="0.25">
      <c r="A433" s="343"/>
      <c r="B433" s="271"/>
      <c r="C433" s="265"/>
      <c r="D433" s="214">
        <v>2025</v>
      </c>
      <c r="E433" s="19">
        <f t="shared" si="17"/>
        <v>1128.5999999999999</v>
      </c>
      <c r="F433" s="23">
        <v>0</v>
      </c>
      <c r="G433" s="19">
        <v>1128.5999999999999</v>
      </c>
      <c r="H433" s="19">
        <v>0</v>
      </c>
      <c r="I433" s="19">
        <v>0</v>
      </c>
      <c r="J433" s="19">
        <v>0</v>
      </c>
      <c r="K433" s="268"/>
      <c r="L433" s="261"/>
    </row>
    <row r="434" spans="1:12" ht="17.25" thickBot="1" x14ac:dyDescent="0.3">
      <c r="A434" s="344"/>
      <c r="B434" s="272"/>
      <c r="C434" s="226"/>
      <c r="D434" s="118">
        <v>2026</v>
      </c>
      <c r="E434" s="22">
        <f t="shared" si="17"/>
        <v>1186.7</v>
      </c>
      <c r="F434" s="24">
        <v>0</v>
      </c>
      <c r="G434" s="22">
        <v>1186.7</v>
      </c>
      <c r="H434" s="22">
        <v>0</v>
      </c>
      <c r="I434" s="22">
        <v>0</v>
      </c>
      <c r="J434" s="22">
        <v>0</v>
      </c>
      <c r="K434" s="269"/>
      <c r="L434" s="262"/>
    </row>
    <row r="435" spans="1:12" ht="16.5" x14ac:dyDescent="0.25">
      <c r="A435" s="342" t="s">
        <v>215</v>
      </c>
      <c r="B435" s="270" t="s">
        <v>115</v>
      </c>
      <c r="C435" s="266" t="e">
        <f>#REF!+#REF!+#REF!+#REF!+#REF!+#REF!+#REF!+#REF!</f>
        <v>#REF!</v>
      </c>
      <c r="D435" s="5">
        <v>2018</v>
      </c>
      <c r="E435" s="21">
        <f t="shared" si="17"/>
        <v>0</v>
      </c>
      <c r="F435" s="21">
        <v>0</v>
      </c>
      <c r="G435" s="21">
        <v>0</v>
      </c>
      <c r="H435" s="21">
        <v>0</v>
      </c>
      <c r="I435" s="21">
        <v>0</v>
      </c>
      <c r="J435" s="21">
        <v>0</v>
      </c>
      <c r="K435" s="267" t="s">
        <v>116</v>
      </c>
      <c r="L435" s="260" t="s">
        <v>114</v>
      </c>
    </row>
    <row r="436" spans="1:12" ht="16.5" x14ac:dyDescent="0.25">
      <c r="A436" s="343"/>
      <c r="B436" s="271"/>
      <c r="C436" s="265"/>
      <c r="D436" s="4">
        <v>2019</v>
      </c>
      <c r="E436" s="19">
        <f t="shared" si="17"/>
        <v>0</v>
      </c>
      <c r="F436" s="19">
        <v>0</v>
      </c>
      <c r="G436" s="19">
        <v>0</v>
      </c>
      <c r="H436" s="19">
        <v>0</v>
      </c>
      <c r="I436" s="19">
        <v>0</v>
      </c>
      <c r="J436" s="19">
        <v>0</v>
      </c>
      <c r="K436" s="268"/>
      <c r="L436" s="261"/>
    </row>
    <row r="437" spans="1:12" ht="16.5" x14ac:dyDescent="0.25">
      <c r="A437" s="343"/>
      <c r="B437" s="271"/>
      <c r="C437" s="265"/>
      <c r="D437" s="214">
        <v>2020</v>
      </c>
      <c r="E437" s="19">
        <f t="shared" si="17"/>
        <v>0</v>
      </c>
      <c r="F437" s="23">
        <v>0</v>
      </c>
      <c r="G437" s="19">
        <v>0</v>
      </c>
      <c r="H437" s="19">
        <v>0</v>
      </c>
      <c r="I437" s="19">
        <v>0</v>
      </c>
      <c r="J437" s="19">
        <v>0</v>
      </c>
      <c r="K437" s="268"/>
      <c r="L437" s="261"/>
    </row>
    <row r="438" spans="1:12" ht="16.5" x14ac:dyDescent="0.25">
      <c r="A438" s="343"/>
      <c r="B438" s="271"/>
      <c r="C438" s="265"/>
      <c r="D438" s="214">
        <v>2021</v>
      </c>
      <c r="E438" s="19">
        <f t="shared" si="17"/>
        <v>0</v>
      </c>
      <c r="F438" s="23">
        <v>0</v>
      </c>
      <c r="G438" s="19">
        <v>0</v>
      </c>
      <c r="H438" s="19">
        <v>0</v>
      </c>
      <c r="I438" s="19">
        <v>0</v>
      </c>
      <c r="J438" s="19">
        <v>0</v>
      </c>
      <c r="K438" s="268"/>
      <c r="L438" s="261"/>
    </row>
    <row r="439" spans="1:12" ht="16.5" x14ac:dyDescent="0.25">
      <c r="A439" s="343"/>
      <c r="B439" s="271"/>
      <c r="C439" s="265"/>
      <c r="D439" s="214">
        <v>2022</v>
      </c>
      <c r="E439" s="19">
        <f t="shared" si="17"/>
        <v>0</v>
      </c>
      <c r="F439" s="23">
        <v>0</v>
      </c>
      <c r="G439" s="19">
        <v>0</v>
      </c>
      <c r="H439" s="19">
        <v>0</v>
      </c>
      <c r="I439" s="19">
        <v>0</v>
      </c>
      <c r="J439" s="19">
        <v>0</v>
      </c>
      <c r="K439" s="268"/>
      <c r="L439" s="261"/>
    </row>
    <row r="440" spans="1:12" ht="16.5" x14ac:dyDescent="0.25">
      <c r="A440" s="343"/>
      <c r="B440" s="271"/>
      <c r="C440" s="265"/>
      <c r="D440" s="214">
        <v>2023</v>
      </c>
      <c r="E440" s="19">
        <f t="shared" si="17"/>
        <v>0</v>
      </c>
      <c r="F440" s="23">
        <v>0</v>
      </c>
      <c r="G440" s="19">
        <v>0</v>
      </c>
      <c r="H440" s="19">
        <v>0</v>
      </c>
      <c r="I440" s="19">
        <v>0</v>
      </c>
      <c r="J440" s="19">
        <v>0</v>
      </c>
      <c r="K440" s="268"/>
      <c r="L440" s="261"/>
    </row>
    <row r="441" spans="1:12" ht="16.5" x14ac:dyDescent="0.25">
      <c r="A441" s="343"/>
      <c r="B441" s="271"/>
      <c r="C441" s="265"/>
      <c r="D441" s="214">
        <v>2024</v>
      </c>
      <c r="E441" s="19">
        <f t="shared" si="17"/>
        <v>0</v>
      </c>
      <c r="F441" s="23">
        <v>0</v>
      </c>
      <c r="G441" s="19">
        <v>0</v>
      </c>
      <c r="H441" s="19">
        <v>0</v>
      </c>
      <c r="I441" s="19">
        <v>0</v>
      </c>
      <c r="J441" s="19">
        <v>0</v>
      </c>
      <c r="K441" s="268"/>
      <c r="L441" s="261"/>
    </row>
    <row r="442" spans="1:12" ht="16.5" x14ac:dyDescent="0.25">
      <c r="A442" s="343"/>
      <c r="B442" s="271"/>
      <c r="C442" s="265"/>
      <c r="D442" s="214">
        <v>2025</v>
      </c>
      <c r="E442" s="19">
        <f t="shared" si="17"/>
        <v>0</v>
      </c>
      <c r="F442" s="23">
        <v>0</v>
      </c>
      <c r="G442" s="19">
        <v>0</v>
      </c>
      <c r="H442" s="19">
        <v>0</v>
      </c>
      <c r="I442" s="19">
        <v>0</v>
      </c>
      <c r="J442" s="19">
        <v>0</v>
      </c>
      <c r="K442" s="268"/>
      <c r="L442" s="261"/>
    </row>
    <row r="443" spans="1:12" ht="17.25" thickBot="1" x14ac:dyDescent="0.3">
      <c r="A443" s="344"/>
      <c r="B443" s="272"/>
      <c r="C443" s="226"/>
      <c r="D443" s="118">
        <v>2026</v>
      </c>
      <c r="E443" s="22">
        <f t="shared" si="17"/>
        <v>0</v>
      </c>
      <c r="F443" s="24">
        <v>0</v>
      </c>
      <c r="G443" s="22">
        <v>0</v>
      </c>
      <c r="H443" s="22">
        <v>0</v>
      </c>
      <c r="I443" s="22">
        <v>0</v>
      </c>
      <c r="J443" s="22">
        <v>0</v>
      </c>
      <c r="K443" s="269"/>
      <c r="L443" s="262"/>
    </row>
    <row r="444" spans="1:12" ht="16.5" x14ac:dyDescent="0.25">
      <c r="A444" s="342" t="s">
        <v>118</v>
      </c>
      <c r="B444" s="270" t="s">
        <v>117</v>
      </c>
      <c r="C444" s="266" t="e">
        <f>#REF!+#REF!+#REF!+#REF!+#REF!+#REF!+#REF!+#REF!</f>
        <v>#REF!</v>
      </c>
      <c r="D444" s="5">
        <v>2018</v>
      </c>
      <c r="E444" s="21">
        <f t="shared" si="17"/>
        <v>2371.6999999999998</v>
      </c>
      <c r="F444" s="21">
        <v>0</v>
      </c>
      <c r="G444" s="21">
        <v>0</v>
      </c>
      <c r="H444" s="21">
        <v>2371.6999999999998</v>
      </c>
      <c r="I444" s="21">
        <v>0</v>
      </c>
      <c r="J444" s="21">
        <v>0</v>
      </c>
      <c r="K444" s="267" t="s">
        <v>119</v>
      </c>
      <c r="L444" s="260" t="s">
        <v>38</v>
      </c>
    </row>
    <row r="445" spans="1:12" ht="16.5" x14ac:dyDescent="0.25">
      <c r="A445" s="343"/>
      <c r="B445" s="271"/>
      <c r="C445" s="265"/>
      <c r="D445" s="4">
        <v>2019</v>
      </c>
      <c r="E445" s="19">
        <f t="shared" si="17"/>
        <v>2414.4</v>
      </c>
      <c r="F445" s="19">
        <v>0</v>
      </c>
      <c r="G445" s="19">
        <v>0</v>
      </c>
      <c r="H445" s="19">
        <v>2414.4</v>
      </c>
      <c r="I445" s="19">
        <v>0</v>
      </c>
      <c r="J445" s="19">
        <v>0</v>
      </c>
      <c r="K445" s="268"/>
      <c r="L445" s="261"/>
    </row>
    <row r="446" spans="1:12" ht="16.5" x14ac:dyDescent="0.25">
      <c r="A446" s="343"/>
      <c r="B446" s="271"/>
      <c r="C446" s="265"/>
      <c r="D446" s="214">
        <v>2020</v>
      </c>
      <c r="E446" s="19">
        <f t="shared" si="17"/>
        <v>6070.5</v>
      </c>
      <c r="F446" s="23">
        <v>0</v>
      </c>
      <c r="G446" s="19">
        <v>0</v>
      </c>
      <c r="H446" s="19">
        <v>6070.5</v>
      </c>
      <c r="I446" s="19">
        <v>0</v>
      </c>
      <c r="J446" s="19">
        <v>0</v>
      </c>
      <c r="K446" s="268"/>
      <c r="L446" s="261"/>
    </row>
    <row r="447" spans="1:12" ht="16.5" x14ac:dyDescent="0.25">
      <c r="A447" s="343"/>
      <c r="B447" s="271"/>
      <c r="C447" s="265"/>
      <c r="D447" s="214">
        <v>2021</v>
      </c>
      <c r="E447" s="19">
        <f t="shared" si="17"/>
        <v>11999.9</v>
      </c>
      <c r="F447" s="23">
        <v>0</v>
      </c>
      <c r="G447" s="19">
        <v>0</v>
      </c>
      <c r="H447" s="19">
        <v>11999.9</v>
      </c>
      <c r="I447" s="19">
        <v>0</v>
      </c>
      <c r="J447" s="19">
        <v>0</v>
      </c>
      <c r="K447" s="268"/>
      <c r="L447" s="261"/>
    </row>
    <row r="448" spans="1:12" ht="16.5" x14ac:dyDescent="0.25">
      <c r="A448" s="343"/>
      <c r="B448" s="271"/>
      <c r="C448" s="265"/>
      <c r="D448" s="214">
        <v>2022</v>
      </c>
      <c r="E448" s="19">
        <f t="shared" si="17"/>
        <v>29760.799999999999</v>
      </c>
      <c r="F448" s="23">
        <v>0</v>
      </c>
      <c r="G448" s="19">
        <v>0</v>
      </c>
      <c r="H448" s="19">
        <f>27940.6-212.3-67.8-938.6+2971.6-9.1+175+395+95-555.9-79.5-399.4+128.9+114.7-130-67.1+70+0.3-60.4+389.8</f>
        <v>29760.799999999999</v>
      </c>
      <c r="I448" s="19">
        <v>0</v>
      </c>
      <c r="J448" s="19">
        <v>0</v>
      </c>
      <c r="K448" s="268"/>
      <c r="L448" s="261"/>
    </row>
    <row r="449" spans="1:12" ht="16.5" x14ac:dyDescent="0.25">
      <c r="A449" s="343"/>
      <c r="B449" s="271"/>
      <c r="C449" s="265"/>
      <c r="D449" s="214">
        <v>2023</v>
      </c>
      <c r="E449" s="19">
        <f t="shared" si="17"/>
        <v>19620.100000000002</v>
      </c>
      <c r="F449" s="23">
        <v>0</v>
      </c>
      <c r="G449" s="19">
        <v>0</v>
      </c>
      <c r="H449" s="19">
        <f>2429.4+4519.1-297.2+2096.6+379.3-190+967.1+1306.4+14.2+1249.1-553.6+253.4+178.6+278.2+300+390+358+184.7+1080+515.9+271-58.5+320+780.2+420+2428.2</f>
        <v>19620.100000000002</v>
      </c>
      <c r="I449" s="19">
        <v>0</v>
      </c>
      <c r="J449" s="19">
        <v>0</v>
      </c>
      <c r="K449" s="268"/>
      <c r="L449" s="261"/>
    </row>
    <row r="450" spans="1:12" ht="16.5" x14ac:dyDescent="0.25">
      <c r="A450" s="343"/>
      <c r="B450" s="271"/>
      <c r="C450" s="265"/>
      <c r="D450" s="214">
        <v>2024</v>
      </c>
      <c r="E450" s="19">
        <f t="shared" si="17"/>
        <v>3012.4</v>
      </c>
      <c r="F450" s="23">
        <v>0</v>
      </c>
      <c r="G450" s="19">
        <v>0</v>
      </c>
      <c r="H450" s="138">
        <f>1742.1+473+342.3+400+55</f>
        <v>3012.4</v>
      </c>
      <c r="I450" s="19">
        <v>0</v>
      </c>
      <c r="J450" s="19">
        <v>0</v>
      </c>
      <c r="K450" s="268"/>
      <c r="L450" s="261"/>
    </row>
    <row r="451" spans="1:12" ht="16.5" x14ac:dyDescent="0.25">
      <c r="A451" s="343"/>
      <c r="B451" s="271"/>
      <c r="C451" s="265"/>
      <c r="D451" s="214">
        <v>2025</v>
      </c>
      <c r="E451" s="19">
        <f t="shared" si="17"/>
        <v>0</v>
      </c>
      <c r="F451" s="23">
        <v>0</v>
      </c>
      <c r="G451" s="19">
        <v>0</v>
      </c>
      <c r="H451" s="138">
        <v>0</v>
      </c>
      <c r="I451" s="19">
        <v>0</v>
      </c>
      <c r="J451" s="19">
        <v>0</v>
      </c>
      <c r="K451" s="268"/>
      <c r="L451" s="261"/>
    </row>
    <row r="452" spans="1:12" ht="17.25" thickBot="1" x14ac:dyDescent="0.3">
      <c r="A452" s="344"/>
      <c r="B452" s="272"/>
      <c r="C452" s="226"/>
      <c r="D452" s="118">
        <v>2026</v>
      </c>
      <c r="E452" s="22">
        <f t="shared" si="17"/>
        <v>0</v>
      </c>
      <c r="F452" s="24">
        <v>0</v>
      </c>
      <c r="G452" s="22">
        <v>0</v>
      </c>
      <c r="H452" s="138">
        <v>0</v>
      </c>
      <c r="I452" s="22">
        <v>0</v>
      </c>
      <c r="J452" s="22">
        <v>0</v>
      </c>
      <c r="K452" s="269"/>
      <c r="L452" s="262"/>
    </row>
    <row r="453" spans="1:12" ht="16.5" x14ac:dyDescent="0.25">
      <c r="A453" s="342" t="s">
        <v>120</v>
      </c>
      <c r="B453" s="270" t="s">
        <v>121</v>
      </c>
      <c r="C453" s="266" t="e">
        <f>#REF!+#REF!+#REF!+#REF!+#REF!+#REF!+#REF!+#REF!</f>
        <v>#REF!</v>
      </c>
      <c r="D453" s="5">
        <v>2018</v>
      </c>
      <c r="E453" s="21">
        <f t="shared" si="17"/>
        <v>1812</v>
      </c>
      <c r="F453" s="21">
        <v>0</v>
      </c>
      <c r="G453" s="21">
        <v>0</v>
      </c>
      <c r="H453" s="21">
        <v>1812</v>
      </c>
      <c r="I453" s="21">
        <v>0</v>
      </c>
      <c r="J453" s="21">
        <v>0</v>
      </c>
      <c r="K453" s="267" t="s">
        <v>122</v>
      </c>
      <c r="L453" s="260" t="s">
        <v>38</v>
      </c>
    </row>
    <row r="454" spans="1:12" ht="16.5" x14ac:dyDescent="0.25">
      <c r="A454" s="343"/>
      <c r="B454" s="271"/>
      <c r="C454" s="265"/>
      <c r="D454" s="4">
        <v>2019</v>
      </c>
      <c r="E454" s="19">
        <f t="shared" si="17"/>
        <v>1997</v>
      </c>
      <c r="F454" s="19">
        <v>0</v>
      </c>
      <c r="G454" s="19">
        <v>0</v>
      </c>
      <c r="H454" s="19">
        <v>1997</v>
      </c>
      <c r="I454" s="19">
        <v>0</v>
      </c>
      <c r="J454" s="19">
        <v>0</v>
      </c>
      <c r="K454" s="268"/>
      <c r="L454" s="261"/>
    </row>
    <row r="455" spans="1:12" ht="16.5" x14ac:dyDescent="0.25">
      <c r="A455" s="343"/>
      <c r="B455" s="271"/>
      <c r="C455" s="265"/>
      <c r="D455" s="214">
        <v>2020</v>
      </c>
      <c r="E455" s="19">
        <f t="shared" si="17"/>
        <v>65</v>
      </c>
      <c r="F455" s="23">
        <v>0</v>
      </c>
      <c r="G455" s="19">
        <v>0</v>
      </c>
      <c r="H455" s="19">
        <v>65</v>
      </c>
      <c r="I455" s="19">
        <v>0</v>
      </c>
      <c r="J455" s="19">
        <v>0</v>
      </c>
      <c r="K455" s="268"/>
      <c r="L455" s="261"/>
    </row>
    <row r="456" spans="1:12" ht="16.5" x14ac:dyDescent="0.25">
      <c r="A456" s="343"/>
      <c r="B456" s="271"/>
      <c r="C456" s="265"/>
      <c r="D456" s="214">
        <v>2021</v>
      </c>
      <c r="E456" s="19">
        <f t="shared" si="17"/>
        <v>1064.4000000000001</v>
      </c>
      <c r="F456" s="23">
        <v>0</v>
      </c>
      <c r="G456" s="19">
        <v>0</v>
      </c>
      <c r="H456" s="19">
        <v>1064.4000000000001</v>
      </c>
      <c r="I456" s="19">
        <v>0</v>
      </c>
      <c r="J456" s="19">
        <v>0</v>
      </c>
      <c r="K456" s="268"/>
      <c r="L456" s="261"/>
    </row>
    <row r="457" spans="1:12" ht="16.5" x14ac:dyDescent="0.25">
      <c r="A457" s="343"/>
      <c r="B457" s="271"/>
      <c r="C457" s="265"/>
      <c r="D457" s="214">
        <v>2022</v>
      </c>
      <c r="E457" s="19">
        <f t="shared" si="17"/>
        <v>0</v>
      </c>
      <c r="F457" s="23">
        <v>0</v>
      </c>
      <c r="G457" s="19">
        <v>0</v>
      </c>
      <c r="H457" s="19">
        <v>0</v>
      </c>
      <c r="I457" s="19">
        <v>0</v>
      </c>
      <c r="J457" s="19">
        <v>0</v>
      </c>
      <c r="K457" s="268"/>
      <c r="L457" s="261"/>
    </row>
    <row r="458" spans="1:12" ht="16.5" x14ac:dyDescent="0.25">
      <c r="A458" s="343"/>
      <c r="B458" s="271"/>
      <c r="C458" s="265"/>
      <c r="D458" s="214">
        <v>2023</v>
      </c>
      <c r="E458" s="19">
        <f t="shared" si="17"/>
        <v>0</v>
      </c>
      <c r="F458" s="23">
        <v>0</v>
      </c>
      <c r="G458" s="19">
        <v>0</v>
      </c>
      <c r="H458" s="19">
        <v>0</v>
      </c>
      <c r="I458" s="19">
        <v>0</v>
      </c>
      <c r="J458" s="19">
        <v>0</v>
      </c>
      <c r="K458" s="268"/>
      <c r="L458" s="261"/>
    </row>
    <row r="459" spans="1:12" ht="16.5" x14ac:dyDescent="0.25">
      <c r="A459" s="343"/>
      <c r="B459" s="271"/>
      <c r="C459" s="265"/>
      <c r="D459" s="214">
        <v>2024</v>
      </c>
      <c r="E459" s="19">
        <f t="shared" si="17"/>
        <v>0</v>
      </c>
      <c r="F459" s="23">
        <v>0</v>
      </c>
      <c r="G459" s="19">
        <v>0</v>
      </c>
      <c r="H459" s="19">
        <v>0</v>
      </c>
      <c r="I459" s="19">
        <v>0</v>
      </c>
      <c r="J459" s="19">
        <v>0</v>
      </c>
      <c r="K459" s="268"/>
      <c r="L459" s="261"/>
    </row>
    <row r="460" spans="1:12" ht="16.5" x14ac:dyDescent="0.25">
      <c r="A460" s="343"/>
      <c r="B460" s="271"/>
      <c r="C460" s="265"/>
      <c r="D460" s="214">
        <v>2025</v>
      </c>
      <c r="E460" s="19">
        <f t="shared" si="17"/>
        <v>0</v>
      </c>
      <c r="F460" s="23">
        <v>0</v>
      </c>
      <c r="G460" s="19">
        <v>0</v>
      </c>
      <c r="H460" s="19">
        <v>0</v>
      </c>
      <c r="I460" s="19">
        <v>0</v>
      </c>
      <c r="J460" s="19">
        <v>0</v>
      </c>
      <c r="K460" s="268"/>
      <c r="L460" s="261"/>
    </row>
    <row r="461" spans="1:12" ht="17.25" thickBot="1" x14ac:dyDescent="0.3">
      <c r="A461" s="344"/>
      <c r="B461" s="272"/>
      <c r="C461" s="226"/>
      <c r="D461" s="118">
        <v>2026</v>
      </c>
      <c r="E461" s="22">
        <f t="shared" si="17"/>
        <v>0</v>
      </c>
      <c r="F461" s="24">
        <v>0</v>
      </c>
      <c r="G461" s="22">
        <v>0</v>
      </c>
      <c r="H461" s="22">
        <v>0</v>
      </c>
      <c r="I461" s="22">
        <v>0</v>
      </c>
      <c r="J461" s="22">
        <v>0</v>
      </c>
      <c r="K461" s="269"/>
      <c r="L461" s="262"/>
    </row>
    <row r="462" spans="1:12" ht="16.5" x14ac:dyDescent="0.25">
      <c r="A462" s="342" t="s">
        <v>216</v>
      </c>
      <c r="B462" s="270" t="s">
        <v>123</v>
      </c>
      <c r="C462" s="266" t="e">
        <f>#REF!+#REF!+#REF!+#REF!+#REF!+#REF!+#REF!+#REF!</f>
        <v>#REF!</v>
      </c>
      <c r="D462" s="5">
        <v>2018</v>
      </c>
      <c r="E462" s="21">
        <f t="shared" si="17"/>
        <v>0</v>
      </c>
      <c r="F462" s="21">
        <v>0</v>
      </c>
      <c r="G462" s="21">
        <v>0</v>
      </c>
      <c r="H462" s="21">
        <v>0</v>
      </c>
      <c r="I462" s="21">
        <v>0</v>
      </c>
      <c r="J462" s="21">
        <v>0</v>
      </c>
      <c r="K462" s="267" t="s">
        <v>116</v>
      </c>
      <c r="L462" s="260" t="s">
        <v>38</v>
      </c>
    </row>
    <row r="463" spans="1:12" ht="16.5" x14ac:dyDescent="0.25">
      <c r="A463" s="343"/>
      <c r="B463" s="271"/>
      <c r="C463" s="265"/>
      <c r="D463" s="4">
        <v>2019</v>
      </c>
      <c r="E463" s="19">
        <f t="shared" si="17"/>
        <v>0</v>
      </c>
      <c r="F463" s="19">
        <v>0</v>
      </c>
      <c r="G463" s="19">
        <v>0</v>
      </c>
      <c r="H463" s="19">
        <v>0</v>
      </c>
      <c r="I463" s="19">
        <v>0</v>
      </c>
      <c r="J463" s="19">
        <v>0</v>
      </c>
      <c r="K463" s="268"/>
      <c r="L463" s="261"/>
    </row>
    <row r="464" spans="1:12" ht="16.5" x14ac:dyDescent="0.25">
      <c r="A464" s="343"/>
      <c r="B464" s="271"/>
      <c r="C464" s="265"/>
      <c r="D464" s="214">
        <v>2020</v>
      </c>
      <c r="E464" s="19">
        <f t="shared" si="17"/>
        <v>0</v>
      </c>
      <c r="F464" s="23">
        <v>0</v>
      </c>
      <c r="G464" s="19">
        <v>0</v>
      </c>
      <c r="H464" s="19">
        <v>0</v>
      </c>
      <c r="I464" s="19">
        <v>0</v>
      </c>
      <c r="J464" s="19">
        <v>0</v>
      </c>
      <c r="K464" s="268"/>
      <c r="L464" s="261"/>
    </row>
    <row r="465" spans="1:12" ht="16.5" x14ac:dyDescent="0.25">
      <c r="A465" s="343"/>
      <c r="B465" s="271"/>
      <c r="C465" s="265"/>
      <c r="D465" s="214">
        <v>2021</v>
      </c>
      <c r="E465" s="19">
        <f t="shared" si="17"/>
        <v>0</v>
      </c>
      <c r="F465" s="23">
        <v>0</v>
      </c>
      <c r="G465" s="19">
        <v>0</v>
      </c>
      <c r="H465" s="19">
        <v>0</v>
      </c>
      <c r="I465" s="19">
        <v>0</v>
      </c>
      <c r="J465" s="19">
        <v>0</v>
      </c>
      <c r="K465" s="268"/>
      <c r="L465" s="261"/>
    </row>
    <row r="466" spans="1:12" ht="16.5" x14ac:dyDescent="0.25">
      <c r="A466" s="343"/>
      <c r="B466" s="271"/>
      <c r="C466" s="265"/>
      <c r="D466" s="214">
        <v>2022</v>
      </c>
      <c r="E466" s="19">
        <f t="shared" si="17"/>
        <v>0</v>
      </c>
      <c r="F466" s="23">
        <v>0</v>
      </c>
      <c r="G466" s="19">
        <v>0</v>
      </c>
      <c r="H466" s="19">
        <v>0</v>
      </c>
      <c r="I466" s="19">
        <v>0</v>
      </c>
      <c r="J466" s="19">
        <v>0</v>
      </c>
      <c r="K466" s="268"/>
      <c r="L466" s="261"/>
    </row>
    <row r="467" spans="1:12" ht="16.5" x14ac:dyDescent="0.25">
      <c r="A467" s="343"/>
      <c r="B467" s="271"/>
      <c r="C467" s="265"/>
      <c r="D467" s="214">
        <v>2023</v>
      </c>
      <c r="E467" s="19">
        <f t="shared" si="17"/>
        <v>0</v>
      </c>
      <c r="F467" s="23">
        <v>0</v>
      </c>
      <c r="G467" s="19">
        <v>0</v>
      </c>
      <c r="H467" s="19">
        <v>0</v>
      </c>
      <c r="I467" s="19">
        <v>0</v>
      </c>
      <c r="J467" s="19">
        <v>0</v>
      </c>
      <c r="K467" s="268"/>
      <c r="L467" s="261"/>
    </row>
    <row r="468" spans="1:12" ht="16.5" x14ac:dyDescent="0.25">
      <c r="A468" s="343"/>
      <c r="B468" s="271"/>
      <c r="C468" s="265"/>
      <c r="D468" s="214">
        <v>2024</v>
      </c>
      <c r="E468" s="19">
        <f t="shared" si="17"/>
        <v>0</v>
      </c>
      <c r="F468" s="23">
        <v>0</v>
      </c>
      <c r="G468" s="19">
        <v>0</v>
      </c>
      <c r="H468" s="19">
        <v>0</v>
      </c>
      <c r="I468" s="19">
        <v>0</v>
      </c>
      <c r="J468" s="19">
        <v>0</v>
      </c>
      <c r="K468" s="268"/>
      <c r="L468" s="261"/>
    </row>
    <row r="469" spans="1:12" ht="16.5" x14ac:dyDescent="0.25">
      <c r="A469" s="343"/>
      <c r="B469" s="271"/>
      <c r="C469" s="265"/>
      <c r="D469" s="214">
        <v>2025</v>
      </c>
      <c r="E469" s="19">
        <f t="shared" si="17"/>
        <v>0</v>
      </c>
      <c r="F469" s="23">
        <v>0</v>
      </c>
      <c r="G469" s="19">
        <v>0</v>
      </c>
      <c r="H469" s="19">
        <v>0</v>
      </c>
      <c r="I469" s="19">
        <v>0</v>
      </c>
      <c r="J469" s="19">
        <v>0</v>
      </c>
      <c r="K469" s="268"/>
      <c r="L469" s="261"/>
    </row>
    <row r="470" spans="1:12" ht="17.25" thickBot="1" x14ac:dyDescent="0.3">
      <c r="A470" s="344"/>
      <c r="B470" s="272"/>
      <c r="C470" s="226"/>
      <c r="D470" s="118">
        <v>2026</v>
      </c>
      <c r="E470" s="22">
        <f t="shared" si="17"/>
        <v>0</v>
      </c>
      <c r="F470" s="24">
        <v>0</v>
      </c>
      <c r="G470" s="22">
        <v>0</v>
      </c>
      <c r="H470" s="22">
        <v>0</v>
      </c>
      <c r="I470" s="22">
        <v>0</v>
      </c>
      <c r="J470" s="22">
        <v>0</v>
      </c>
      <c r="K470" s="269"/>
      <c r="L470" s="262"/>
    </row>
    <row r="471" spans="1:12" ht="16.5" x14ac:dyDescent="0.25">
      <c r="A471" s="342" t="s">
        <v>124</v>
      </c>
      <c r="B471" s="270" t="s">
        <v>125</v>
      </c>
      <c r="C471" s="266" t="e">
        <f>#REF!+#REF!+#REF!+#REF!+#REF!+#REF!+#REF!+#REF!</f>
        <v>#REF!</v>
      </c>
      <c r="D471" s="5">
        <v>2018</v>
      </c>
      <c r="E471" s="21">
        <f t="shared" si="17"/>
        <v>4300</v>
      </c>
      <c r="F471" s="21">
        <v>0</v>
      </c>
      <c r="G471" s="21">
        <v>4300</v>
      </c>
      <c r="H471" s="21">
        <v>0</v>
      </c>
      <c r="I471" s="21">
        <v>0</v>
      </c>
      <c r="J471" s="21">
        <v>0</v>
      </c>
      <c r="K471" s="267" t="s">
        <v>126</v>
      </c>
      <c r="L471" s="260" t="s">
        <v>127</v>
      </c>
    </row>
    <row r="472" spans="1:12" ht="16.5" x14ac:dyDescent="0.25">
      <c r="A472" s="343"/>
      <c r="B472" s="271"/>
      <c r="C472" s="265"/>
      <c r="D472" s="4">
        <v>2019</v>
      </c>
      <c r="E472" s="19">
        <f t="shared" ref="E472:E545" si="18">F472+G472+H472+J472</f>
        <v>4310</v>
      </c>
      <c r="F472" s="19">
        <v>0</v>
      </c>
      <c r="G472" s="19">
        <v>4310</v>
      </c>
      <c r="H472" s="19">
        <v>0</v>
      </c>
      <c r="I472" s="19">
        <v>0</v>
      </c>
      <c r="J472" s="19">
        <v>0</v>
      </c>
      <c r="K472" s="268"/>
      <c r="L472" s="261"/>
    </row>
    <row r="473" spans="1:12" ht="16.5" x14ac:dyDescent="0.25">
      <c r="A473" s="343"/>
      <c r="B473" s="271"/>
      <c r="C473" s="265"/>
      <c r="D473" s="214">
        <v>2020</v>
      </c>
      <c r="E473" s="19">
        <f t="shared" si="18"/>
        <v>200</v>
      </c>
      <c r="F473" s="23">
        <v>0</v>
      </c>
      <c r="G473" s="19">
        <v>200</v>
      </c>
      <c r="H473" s="19">
        <v>0</v>
      </c>
      <c r="I473" s="19">
        <v>0</v>
      </c>
      <c r="J473" s="19">
        <v>0</v>
      </c>
      <c r="K473" s="268"/>
      <c r="L473" s="261"/>
    </row>
    <row r="474" spans="1:12" ht="16.5" x14ac:dyDescent="0.25">
      <c r="A474" s="343"/>
      <c r="B474" s="271"/>
      <c r="C474" s="265"/>
      <c r="D474" s="214">
        <v>2021</v>
      </c>
      <c r="E474" s="19">
        <f t="shared" si="18"/>
        <v>10500</v>
      </c>
      <c r="F474" s="23">
        <v>0</v>
      </c>
      <c r="G474" s="19">
        <v>10500</v>
      </c>
      <c r="H474" s="19">
        <v>0</v>
      </c>
      <c r="I474" s="19">
        <v>0</v>
      </c>
      <c r="J474" s="19">
        <v>0</v>
      </c>
      <c r="K474" s="268"/>
      <c r="L474" s="261"/>
    </row>
    <row r="475" spans="1:12" ht="16.5" x14ac:dyDescent="0.25">
      <c r="A475" s="343"/>
      <c r="B475" s="271"/>
      <c r="C475" s="265"/>
      <c r="D475" s="214">
        <v>2022</v>
      </c>
      <c r="E475" s="19">
        <f t="shared" si="18"/>
        <v>31705.5</v>
      </c>
      <c r="F475" s="23">
        <v>0</v>
      </c>
      <c r="G475" s="19">
        <v>31705.5</v>
      </c>
      <c r="H475" s="19">
        <v>0</v>
      </c>
      <c r="I475" s="19">
        <v>0</v>
      </c>
      <c r="J475" s="19">
        <v>0</v>
      </c>
      <c r="K475" s="268"/>
      <c r="L475" s="261"/>
    </row>
    <row r="476" spans="1:12" ht="16.5" x14ac:dyDescent="0.25">
      <c r="A476" s="343"/>
      <c r="B476" s="271"/>
      <c r="C476" s="265"/>
      <c r="D476" s="214">
        <v>2023</v>
      </c>
      <c r="E476" s="19">
        <f t="shared" si="18"/>
        <v>8000</v>
      </c>
      <c r="F476" s="23">
        <v>0</v>
      </c>
      <c r="G476" s="19">
        <v>8000</v>
      </c>
      <c r="H476" s="19">
        <v>0</v>
      </c>
      <c r="I476" s="19">
        <v>0</v>
      </c>
      <c r="J476" s="19">
        <v>0</v>
      </c>
      <c r="K476" s="268"/>
      <c r="L476" s="261"/>
    </row>
    <row r="477" spans="1:12" ht="16.5" x14ac:dyDescent="0.25">
      <c r="A477" s="343"/>
      <c r="B477" s="271"/>
      <c r="C477" s="265"/>
      <c r="D477" s="214">
        <v>2024</v>
      </c>
      <c r="E477" s="19">
        <f t="shared" si="18"/>
        <v>0</v>
      </c>
      <c r="F477" s="23">
        <v>0</v>
      </c>
      <c r="G477" s="19">
        <v>0</v>
      </c>
      <c r="H477" s="19">
        <v>0</v>
      </c>
      <c r="I477" s="19">
        <v>0</v>
      </c>
      <c r="J477" s="19">
        <v>0</v>
      </c>
      <c r="K477" s="268"/>
      <c r="L477" s="261"/>
    </row>
    <row r="478" spans="1:12" ht="16.5" x14ac:dyDescent="0.25">
      <c r="A478" s="343"/>
      <c r="B478" s="271"/>
      <c r="C478" s="265"/>
      <c r="D478" s="214">
        <v>2025</v>
      </c>
      <c r="E478" s="19">
        <f t="shared" si="18"/>
        <v>0</v>
      </c>
      <c r="F478" s="23">
        <v>0</v>
      </c>
      <c r="G478" s="19">
        <v>0</v>
      </c>
      <c r="H478" s="19">
        <v>0</v>
      </c>
      <c r="I478" s="19">
        <v>0</v>
      </c>
      <c r="J478" s="19">
        <v>0</v>
      </c>
      <c r="K478" s="268"/>
      <c r="L478" s="261"/>
    </row>
    <row r="479" spans="1:12" ht="17.25" thickBot="1" x14ac:dyDescent="0.3">
      <c r="A479" s="344"/>
      <c r="B479" s="272"/>
      <c r="C479" s="226"/>
      <c r="D479" s="118">
        <v>2026</v>
      </c>
      <c r="E479" s="22">
        <f t="shared" si="18"/>
        <v>0</v>
      </c>
      <c r="F479" s="24">
        <v>0</v>
      </c>
      <c r="G479" s="22">
        <v>0</v>
      </c>
      <c r="H479" s="22">
        <v>0</v>
      </c>
      <c r="I479" s="22">
        <v>0</v>
      </c>
      <c r="J479" s="22">
        <v>0</v>
      </c>
      <c r="K479" s="269"/>
      <c r="L479" s="262"/>
    </row>
    <row r="480" spans="1:12" ht="17.25" thickBot="1" x14ac:dyDescent="0.3">
      <c r="A480" s="40">
        <v>1</v>
      </c>
      <c r="B480" s="40">
        <v>2</v>
      </c>
      <c r="C480" s="40"/>
      <c r="D480" s="40">
        <v>3</v>
      </c>
      <c r="E480" s="40">
        <v>4</v>
      </c>
      <c r="F480" s="40">
        <v>5</v>
      </c>
      <c r="G480" s="40">
        <v>6</v>
      </c>
      <c r="H480" s="40">
        <v>7</v>
      </c>
      <c r="I480" s="40">
        <v>8</v>
      </c>
      <c r="J480" s="40">
        <v>9</v>
      </c>
      <c r="K480" s="78">
        <v>10</v>
      </c>
      <c r="L480" s="78">
        <v>11</v>
      </c>
    </row>
    <row r="481" spans="1:12" ht="16.5" x14ac:dyDescent="0.25">
      <c r="A481" s="342" t="s">
        <v>128</v>
      </c>
      <c r="B481" s="270" t="s">
        <v>129</v>
      </c>
      <c r="C481" s="266" t="e">
        <f>#REF!+#REF!+#REF!+#REF!+#REF!+#REF!+#REF!+#REF!</f>
        <v>#REF!</v>
      </c>
      <c r="D481" s="5">
        <v>2018</v>
      </c>
      <c r="E481" s="21">
        <f t="shared" si="18"/>
        <v>6131.5</v>
      </c>
      <c r="F481" s="21">
        <v>0</v>
      </c>
      <c r="G481" s="21">
        <v>0</v>
      </c>
      <c r="H481" s="21">
        <v>6131.5</v>
      </c>
      <c r="I481" s="21">
        <v>0</v>
      </c>
      <c r="J481" s="21">
        <v>0</v>
      </c>
      <c r="K481" s="267" t="s">
        <v>130</v>
      </c>
      <c r="L481" s="260" t="s">
        <v>38</v>
      </c>
    </row>
    <row r="482" spans="1:12" ht="16.5" x14ac:dyDescent="0.25">
      <c r="A482" s="343"/>
      <c r="B482" s="271"/>
      <c r="C482" s="265"/>
      <c r="D482" s="4">
        <v>2019</v>
      </c>
      <c r="E482" s="19">
        <f t="shared" si="18"/>
        <v>1236.5</v>
      </c>
      <c r="F482" s="19">
        <v>0</v>
      </c>
      <c r="G482" s="19">
        <v>0</v>
      </c>
      <c r="H482" s="19">
        <v>1236.5</v>
      </c>
      <c r="I482" s="19">
        <v>0</v>
      </c>
      <c r="J482" s="19">
        <v>0</v>
      </c>
      <c r="K482" s="268"/>
      <c r="L482" s="261"/>
    </row>
    <row r="483" spans="1:12" ht="16.5" x14ac:dyDescent="0.25">
      <c r="A483" s="343"/>
      <c r="B483" s="271"/>
      <c r="C483" s="265"/>
      <c r="D483" s="214">
        <v>2020</v>
      </c>
      <c r="E483" s="19">
        <f t="shared" si="18"/>
        <v>3843.7</v>
      </c>
      <c r="F483" s="23">
        <v>0</v>
      </c>
      <c r="G483" s="19">
        <v>0</v>
      </c>
      <c r="H483" s="19">
        <v>3843.7</v>
      </c>
      <c r="I483" s="19">
        <v>0</v>
      </c>
      <c r="J483" s="19">
        <v>0</v>
      </c>
      <c r="K483" s="268"/>
      <c r="L483" s="261"/>
    </row>
    <row r="484" spans="1:12" ht="16.5" x14ac:dyDescent="0.25">
      <c r="A484" s="343"/>
      <c r="B484" s="271"/>
      <c r="C484" s="265"/>
      <c r="D484" s="214">
        <v>2021</v>
      </c>
      <c r="E484" s="19">
        <f t="shared" si="18"/>
        <v>19916.3</v>
      </c>
      <c r="F484" s="23">
        <v>0</v>
      </c>
      <c r="G484" s="19">
        <v>0</v>
      </c>
      <c r="H484" s="19">
        <v>19916.3</v>
      </c>
      <c r="I484" s="19">
        <v>0</v>
      </c>
      <c r="J484" s="19">
        <v>0</v>
      </c>
      <c r="K484" s="268"/>
      <c r="L484" s="261"/>
    </row>
    <row r="485" spans="1:12" ht="16.5" x14ac:dyDescent="0.25">
      <c r="A485" s="343"/>
      <c r="B485" s="271"/>
      <c r="C485" s="265"/>
      <c r="D485" s="214">
        <v>2022</v>
      </c>
      <c r="E485" s="19">
        <f t="shared" si="18"/>
        <v>41671.30000000001</v>
      </c>
      <c r="F485" s="23">
        <v>0</v>
      </c>
      <c r="G485" s="19">
        <v>0</v>
      </c>
      <c r="H485" s="19">
        <f>37419.8+67.8+938.6+382.5+9.1+98.1+341.4+754+1076.4+300+741.4+929.4+458.2+555.9+451.4+79.5-301.5+186.4-2817.1</f>
        <v>41671.30000000001</v>
      </c>
      <c r="I485" s="19">
        <v>0</v>
      </c>
      <c r="J485" s="19">
        <v>0</v>
      </c>
      <c r="K485" s="268"/>
      <c r="L485" s="261"/>
    </row>
    <row r="486" spans="1:12" ht="16.5" x14ac:dyDescent="0.25">
      <c r="A486" s="343"/>
      <c r="B486" s="271"/>
      <c r="C486" s="265"/>
      <c r="D486" s="214">
        <v>2023</v>
      </c>
      <c r="E486" s="19">
        <f t="shared" si="18"/>
        <v>35816.800000000003</v>
      </c>
      <c r="F486" s="23">
        <v>0</v>
      </c>
      <c r="G486" s="19">
        <v>0</v>
      </c>
      <c r="H486" s="19">
        <f>18731.2-1923.4+4662.5-379.3-1786.1+3828.5+1500+183.8+3000+300+120+450+381.1+60-271+58.5-305+305+6901</f>
        <v>35816.800000000003</v>
      </c>
      <c r="I486" s="19">
        <v>0</v>
      </c>
      <c r="J486" s="19">
        <v>0</v>
      </c>
      <c r="K486" s="268"/>
      <c r="L486" s="261"/>
    </row>
    <row r="487" spans="1:12" ht="16.5" x14ac:dyDescent="0.25">
      <c r="A487" s="343"/>
      <c r="B487" s="271"/>
      <c r="C487" s="265"/>
      <c r="D487" s="214">
        <v>2024</v>
      </c>
      <c r="E487" s="19">
        <f t="shared" si="18"/>
        <v>44208.700000000004</v>
      </c>
      <c r="F487" s="23">
        <v>0</v>
      </c>
      <c r="G487" s="19">
        <v>0</v>
      </c>
      <c r="H487" s="138">
        <f>17685.2+12538.9+14566.7+285.8+96-354.3-609.6</f>
        <v>44208.700000000004</v>
      </c>
      <c r="I487" s="19">
        <v>0</v>
      </c>
      <c r="J487" s="19">
        <v>0</v>
      </c>
      <c r="K487" s="268"/>
      <c r="L487" s="261"/>
    </row>
    <row r="488" spans="1:12" ht="16.5" x14ac:dyDescent="0.25">
      <c r="A488" s="343"/>
      <c r="B488" s="271"/>
      <c r="C488" s="265"/>
      <c r="D488" s="214">
        <v>2025</v>
      </c>
      <c r="E488" s="19">
        <f t="shared" si="18"/>
        <v>0</v>
      </c>
      <c r="F488" s="23">
        <v>0</v>
      </c>
      <c r="G488" s="19">
        <v>0</v>
      </c>
      <c r="H488" s="138">
        <v>0</v>
      </c>
      <c r="I488" s="19">
        <v>0</v>
      </c>
      <c r="J488" s="19">
        <v>0</v>
      </c>
      <c r="K488" s="268"/>
      <c r="L488" s="261"/>
    </row>
    <row r="489" spans="1:12" ht="17.25" thickBot="1" x14ac:dyDescent="0.3">
      <c r="A489" s="344"/>
      <c r="B489" s="272"/>
      <c r="C489" s="226"/>
      <c r="D489" s="118">
        <v>2026</v>
      </c>
      <c r="E489" s="22">
        <f t="shared" si="18"/>
        <v>0</v>
      </c>
      <c r="F489" s="24">
        <v>0</v>
      </c>
      <c r="G489" s="22">
        <v>0</v>
      </c>
      <c r="H489" s="139">
        <v>0</v>
      </c>
      <c r="I489" s="22">
        <v>0</v>
      </c>
      <c r="J489" s="22">
        <v>0</v>
      </c>
      <c r="K489" s="269"/>
      <c r="L489" s="262"/>
    </row>
    <row r="490" spans="1:12" ht="16.5" x14ac:dyDescent="0.25">
      <c r="A490" s="342" t="s">
        <v>132</v>
      </c>
      <c r="B490" s="270" t="s">
        <v>131</v>
      </c>
      <c r="C490" s="266" t="e">
        <f>#REF!+#REF!+#REF!+#REF!+#REF!+#REF!+#REF!+#REF!</f>
        <v>#REF!</v>
      </c>
      <c r="D490" s="5">
        <v>2018</v>
      </c>
      <c r="E490" s="21">
        <f t="shared" si="18"/>
        <v>0</v>
      </c>
      <c r="F490" s="21">
        <v>0</v>
      </c>
      <c r="G490" s="21">
        <v>0</v>
      </c>
      <c r="H490" s="21">
        <v>0</v>
      </c>
      <c r="I490" s="21">
        <v>0</v>
      </c>
      <c r="J490" s="21">
        <v>0</v>
      </c>
      <c r="K490" s="267" t="s">
        <v>133</v>
      </c>
      <c r="L490" s="260" t="s">
        <v>38</v>
      </c>
    </row>
    <row r="491" spans="1:12" ht="16.5" x14ac:dyDescent="0.25">
      <c r="A491" s="343"/>
      <c r="B491" s="271"/>
      <c r="C491" s="265"/>
      <c r="D491" s="4">
        <v>2019</v>
      </c>
      <c r="E491" s="19">
        <f t="shared" si="18"/>
        <v>0</v>
      </c>
      <c r="F491" s="19">
        <v>0</v>
      </c>
      <c r="G491" s="19">
        <v>0</v>
      </c>
      <c r="H491" s="19">
        <v>0</v>
      </c>
      <c r="I491" s="19">
        <v>0</v>
      </c>
      <c r="J491" s="19">
        <v>0</v>
      </c>
      <c r="K491" s="268"/>
      <c r="L491" s="261"/>
    </row>
    <row r="492" spans="1:12" ht="16.5" x14ac:dyDescent="0.25">
      <c r="A492" s="343"/>
      <c r="B492" s="271"/>
      <c r="C492" s="265"/>
      <c r="D492" s="214">
        <v>2020</v>
      </c>
      <c r="E492" s="19">
        <f t="shared" si="18"/>
        <v>0</v>
      </c>
      <c r="F492" s="23">
        <v>0</v>
      </c>
      <c r="G492" s="19">
        <v>0</v>
      </c>
      <c r="H492" s="19">
        <v>0</v>
      </c>
      <c r="I492" s="19">
        <v>0</v>
      </c>
      <c r="J492" s="19">
        <v>0</v>
      </c>
      <c r="K492" s="268"/>
      <c r="L492" s="261"/>
    </row>
    <row r="493" spans="1:12" ht="16.5" x14ac:dyDescent="0.25">
      <c r="A493" s="343"/>
      <c r="B493" s="271"/>
      <c r="C493" s="265"/>
      <c r="D493" s="214">
        <v>2021</v>
      </c>
      <c r="E493" s="19">
        <f t="shared" si="18"/>
        <v>900</v>
      </c>
      <c r="F493" s="23">
        <v>0</v>
      </c>
      <c r="G493" s="19">
        <v>0</v>
      </c>
      <c r="H493" s="19">
        <v>900</v>
      </c>
      <c r="I493" s="19">
        <v>0</v>
      </c>
      <c r="J493" s="19">
        <v>0</v>
      </c>
      <c r="K493" s="268"/>
      <c r="L493" s="261"/>
    </row>
    <row r="494" spans="1:12" ht="16.5" x14ac:dyDescent="0.25">
      <c r="A494" s="343"/>
      <c r="B494" s="271"/>
      <c r="C494" s="265"/>
      <c r="D494" s="214">
        <v>2022</v>
      </c>
      <c r="E494" s="19">
        <f t="shared" si="18"/>
        <v>1016.1</v>
      </c>
      <c r="F494" s="23">
        <v>0</v>
      </c>
      <c r="G494" s="19">
        <v>0</v>
      </c>
      <c r="H494" s="19">
        <v>1016.1</v>
      </c>
      <c r="I494" s="19">
        <v>0</v>
      </c>
      <c r="J494" s="19">
        <v>0</v>
      </c>
      <c r="K494" s="268"/>
      <c r="L494" s="261"/>
    </row>
    <row r="495" spans="1:12" ht="16.5" x14ac:dyDescent="0.25">
      <c r="A495" s="343"/>
      <c r="B495" s="271"/>
      <c r="C495" s="265"/>
      <c r="D495" s="214">
        <v>2023</v>
      </c>
      <c r="E495" s="19">
        <f t="shared" si="18"/>
        <v>1000</v>
      </c>
      <c r="F495" s="23">
        <v>0</v>
      </c>
      <c r="G495" s="19">
        <v>0</v>
      </c>
      <c r="H495" s="19">
        <v>1000</v>
      </c>
      <c r="I495" s="19">
        <v>0</v>
      </c>
      <c r="J495" s="19">
        <v>0</v>
      </c>
      <c r="K495" s="268"/>
      <c r="L495" s="261"/>
    </row>
    <row r="496" spans="1:12" ht="16.5" x14ac:dyDescent="0.25">
      <c r="A496" s="343"/>
      <c r="B496" s="271"/>
      <c r="C496" s="265"/>
      <c r="D496" s="214">
        <v>2024</v>
      </c>
      <c r="E496" s="19">
        <f t="shared" si="18"/>
        <v>1000</v>
      </c>
      <c r="F496" s="23">
        <v>0</v>
      </c>
      <c r="G496" s="19">
        <v>0</v>
      </c>
      <c r="H496" s="178">
        <v>1000</v>
      </c>
      <c r="I496" s="19">
        <v>0</v>
      </c>
      <c r="J496" s="19">
        <v>0</v>
      </c>
      <c r="K496" s="268"/>
      <c r="L496" s="261"/>
    </row>
    <row r="497" spans="1:12" ht="16.5" x14ac:dyDescent="0.25">
      <c r="A497" s="343"/>
      <c r="B497" s="271"/>
      <c r="C497" s="265"/>
      <c r="D497" s="214">
        <v>2025</v>
      </c>
      <c r="E497" s="19">
        <f t="shared" si="18"/>
        <v>1000</v>
      </c>
      <c r="F497" s="23">
        <v>0</v>
      </c>
      <c r="G497" s="19">
        <v>0</v>
      </c>
      <c r="H497" s="138">
        <f>1000</f>
        <v>1000</v>
      </c>
      <c r="I497" s="19">
        <v>0</v>
      </c>
      <c r="J497" s="19">
        <v>0</v>
      </c>
      <c r="K497" s="268"/>
      <c r="L497" s="261"/>
    </row>
    <row r="498" spans="1:12" ht="17.25" thickBot="1" x14ac:dyDescent="0.3">
      <c r="A498" s="344"/>
      <c r="B498" s="272"/>
      <c r="C498" s="226"/>
      <c r="D498" s="118">
        <v>2026</v>
      </c>
      <c r="E498" s="22">
        <f t="shared" si="18"/>
        <v>0</v>
      </c>
      <c r="F498" s="24">
        <v>0</v>
      </c>
      <c r="G498" s="22">
        <v>0</v>
      </c>
      <c r="H498" s="139">
        <v>0</v>
      </c>
      <c r="I498" s="22">
        <v>0</v>
      </c>
      <c r="J498" s="22">
        <v>0</v>
      </c>
      <c r="K498" s="269"/>
      <c r="L498" s="262"/>
    </row>
    <row r="499" spans="1:12" ht="16.5" x14ac:dyDescent="0.25">
      <c r="A499" s="342" t="s">
        <v>217</v>
      </c>
      <c r="B499" s="270" t="s">
        <v>134</v>
      </c>
      <c r="C499" s="266" t="e">
        <f>#REF!+#REF!+#REF!+#REF!+#REF!+#REF!+#REF!+#REF!</f>
        <v>#REF!</v>
      </c>
      <c r="D499" s="5">
        <v>2018</v>
      </c>
      <c r="E499" s="21">
        <f t="shared" si="18"/>
        <v>0</v>
      </c>
      <c r="F499" s="21">
        <v>0</v>
      </c>
      <c r="G499" s="21">
        <v>0</v>
      </c>
      <c r="H499" s="21">
        <v>0</v>
      </c>
      <c r="I499" s="21">
        <v>0</v>
      </c>
      <c r="J499" s="21">
        <v>0</v>
      </c>
      <c r="K499" s="267" t="s">
        <v>135</v>
      </c>
      <c r="L499" s="260" t="s">
        <v>38</v>
      </c>
    </row>
    <row r="500" spans="1:12" ht="16.5" x14ac:dyDescent="0.25">
      <c r="A500" s="343"/>
      <c r="B500" s="271"/>
      <c r="C500" s="265"/>
      <c r="D500" s="4">
        <v>2019</v>
      </c>
      <c r="E500" s="19">
        <f t="shared" si="18"/>
        <v>0</v>
      </c>
      <c r="F500" s="19">
        <v>0</v>
      </c>
      <c r="G500" s="19">
        <v>0</v>
      </c>
      <c r="H500" s="19">
        <v>0</v>
      </c>
      <c r="I500" s="19">
        <v>0</v>
      </c>
      <c r="J500" s="19">
        <v>0</v>
      </c>
      <c r="K500" s="268"/>
      <c r="L500" s="261"/>
    </row>
    <row r="501" spans="1:12" ht="16.5" x14ac:dyDescent="0.25">
      <c r="A501" s="343"/>
      <c r="B501" s="271"/>
      <c r="C501" s="265"/>
      <c r="D501" s="214">
        <v>2020</v>
      </c>
      <c r="E501" s="19">
        <f t="shared" si="18"/>
        <v>0</v>
      </c>
      <c r="F501" s="23">
        <v>0</v>
      </c>
      <c r="G501" s="19">
        <v>0</v>
      </c>
      <c r="H501" s="19">
        <v>0</v>
      </c>
      <c r="I501" s="19">
        <v>0</v>
      </c>
      <c r="J501" s="19">
        <v>0</v>
      </c>
      <c r="K501" s="268"/>
      <c r="L501" s="261"/>
    </row>
    <row r="502" spans="1:12" ht="16.5" x14ac:dyDescent="0.25">
      <c r="A502" s="343"/>
      <c r="B502" s="271"/>
      <c r="C502" s="265"/>
      <c r="D502" s="214">
        <v>2021</v>
      </c>
      <c r="E502" s="19">
        <f t="shared" si="18"/>
        <v>0</v>
      </c>
      <c r="F502" s="23">
        <v>0</v>
      </c>
      <c r="G502" s="19">
        <v>0</v>
      </c>
      <c r="H502" s="19">
        <v>0</v>
      </c>
      <c r="I502" s="19">
        <v>0</v>
      </c>
      <c r="J502" s="19">
        <v>0</v>
      </c>
      <c r="K502" s="268"/>
      <c r="L502" s="261"/>
    </row>
    <row r="503" spans="1:12" ht="16.5" x14ac:dyDescent="0.25">
      <c r="A503" s="343"/>
      <c r="B503" s="271"/>
      <c r="C503" s="265"/>
      <c r="D503" s="214">
        <v>2022</v>
      </c>
      <c r="E503" s="19">
        <f t="shared" si="18"/>
        <v>0</v>
      </c>
      <c r="F503" s="23">
        <v>0</v>
      </c>
      <c r="G503" s="19">
        <v>0</v>
      </c>
      <c r="H503" s="19">
        <v>0</v>
      </c>
      <c r="I503" s="19">
        <v>0</v>
      </c>
      <c r="J503" s="19">
        <v>0</v>
      </c>
      <c r="K503" s="268"/>
      <c r="L503" s="261"/>
    </row>
    <row r="504" spans="1:12" ht="16.5" x14ac:dyDescent="0.25">
      <c r="A504" s="343"/>
      <c r="B504" s="271"/>
      <c r="C504" s="265"/>
      <c r="D504" s="214">
        <v>2023</v>
      </c>
      <c r="E504" s="19">
        <f t="shared" si="18"/>
        <v>0</v>
      </c>
      <c r="F504" s="23">
        <v>0</v>
      </c>
      <c r="G504" s="19">
        <v>0</v>
      </c>
      <c r="H504" s="19">
        <v>0</v>
      </c>
      <c r="I504" s="19">
        <v>0</v>
      </c>
      <c r="J504" s="19">
        <v>0</v>
      </c>
      <c r="K504" s="268"/>
      <c r="L504" s="261"/>
    </row>
    <row r="505" spans="1:12" ht="16.5" x14ac:dyDescent="0.25">
      <c r="A505" s="343"/>
      <c r="B505" s="271"/>
      <c r="C505" s="265"/>
      <c r="D505" s="214">
        <v>2024</v>
      </c>
      <c r="E505" s="19">
        <f t="shared" si="18"/>
        <v>0</v>
      </c>
      <c r="F505" s="23">
        <v>0</v>
      </c>
      <c r="G505" s="19">
        <v>0</v>
      </c>
      <c r="H505" s="19">
        <v>0</v>
      </c>
      <c r="I505" s="19">
        <v>0</v>
      </c>
      <c r="J505" s="19">
        <v>0</v>
      </c>
      <c r="K505" s="268"/>
      <c r="L505" s="261"/>
    </row>
    <row r="506" spans="1:12" ht="16.5" x14ac:dyDescent="0.25">
      <c r="A506" s="343"/>
      <c r="B506" s="271"/>
      <c r="C506" s="265"/>
      <c r="D506" s="214">
        <v>2025</v>
      </c>
      <c r="E506" s="19">
        <f t="shared" si="18"/>
        <v>0</v>
      </c>
      <c r="F506" s="23">
        <v>0</v>
      </c>
      <c r="G506" s="19">
        <v>0</v>
      </c>
      <c r="H506" s="19">
        <v>0</v>
      </c>
      <c r="I506" s="19">
        <v>0</v>
      </c>
      <c r="J506" s="19">
        <v>0</v>
      </c>
      <c r="K506" s="268"/>
      <c r="L506" s="261"/>
    </row>
    <row r="507" spans="1:12" ht="17.25" thickBot="1" x14ac:dyDescent="0.3">
      <c r="A507" s="344"/>
      <c r="B507" s="272"/>
      <c r="C507" s="226"/>
      <c r="D507" s="118">
        <v>2026</v>
      </c>
      <c r="E507" s="22">
        <f t="shared" si="18"/>
        <v>0</v>
      </c>
      <c r="F507" s="24">
        <v>0</v>
      </c>
      <c r="G507" s="22">
        <v>0</v>
      </c>
      <c r="H507" s="22">
        <v>0</v>
      </c>
      <c r="I507" s="22">
        <v>0</v>
      </c>
      <c r="J507" s="22">
        <v>0</v>
      </c>
      <c r="K507" s="269"/>
      <c r="L507" s="262"/>
    </row>
    <row r="508" spans="1:12" ht="16.5" x14ac:dyDescent="0.25">
      <c r="A508" s="342" t="s">
        <v>136</v>
      </c>
      <c r="B508" s="270" t="s">
        <v>137</v>
      </c>
      <c r="C508" s="266" t="e">
        <f>#REF!+#REF!+#REF!+#REF!+#REF!+#REF!+#REF!+#REF!</f>
        <v>#REF!</v>
      </c>
      <c r="D508" s="5">
        <v>2018</v>
      </c>
      <c r="E508" s="21">
        <f t="shared" si="18"/>
        <v>30774.899999999998</v>
      </c>
      <c r="F508" s="21">
        <v>0</v>
      </c>
      <c r="G508" s="21">
        <v>29236.1</v>
      </c>
      <c r="H508" s="21">
        <v>1538.8</v>
      </c>
      <c r="I508" s="21">
        <v>1538.8</v>
      </c>
      <c r="J508" s="21">
        <v>0</v>
      </c>
      <c r="K508" s="267" t="s">
        <v>138</v>
      </c>
      <c r="L508" s="260" t="s">
        <v>139</v>
      </c>
    </row>
    <row r="509" spans="1:12" ht="16.5" x14ac:dyDescent="0.25">
      <c r="A509" s="343"/>
      <c r="B509" s="271"/>
      <c r="C509" s="265"/>
      <c r="D509" s="4">
        <v>2019</v>
      </c>
      <c r="E509" s="19">
        <f t="shared" si="18"/>
        <v>0</v>
      </c>
      <c r="F509" s="19">
        <v>0</v>
      </c>
      <c r="G509" s="19">
        <v>0</v>
      </c>
      <c r="H509" s="19">
        <v>0</v>
      </c>
      <c r="I509" s="19">
        <v>0</v>
      </c>
      <c r="J509" s="19">
        <v>0</v>
      </c>
      <c r="K509" s="268"/>
      <c r="L509" s="261"/>
    </row>
    <row r="510" spans="1:12" ht="16.5" x14ac:dyDescent="0.25">
      <c r="A510" s="343"/>
      <c r="B510" s="271"/>
      <c r="C510" s="265"/>
      <c r="D510" s="214">
        <v>2020</v>
      </c>
      <c r="E510" s="19">
        <f t="shared" si="18"/>
        <v>0</v>
      </c>
      <c r="F510" s="23">
        <v>0</v>
      </c>
      <c r="G510" s="19">
        <v>0</v>
      </c>
      <c r="H510" s="19">
        <v>0</v>
      </c>
      <c r="I510" s="19">
        <v>0</v>
      </c>
      <c r="J510" s="19">
        <v>0</v>
      </c>
      <c r="K510" s="268"/>
      <c r="L510" s="261"/>
    </row>
    <row r="511" spans="1:12" ht="16.5" x14ac:dyDescent="0.25">
      <c r="A511" s="343"/>
      <c r="B511" s="271"/>
      <c r="C511" s="265"/>
      <c r="D511" s="214">
        <v>2021</v>
      </c>
      <c r="E511" s="19">
        <f t="shared" si="18"/>
        <v>0</v>
      </c>
      <c r="F511" s="23">
        <v>0</v>
      </c>
      <c r="G511" s="19">
        <v>0</v>
      </c>
      <c r="H511" s="19">
        <v>0</v>
      </c>
      <c r="I511" s="19">
        <v>0</v>
      </c>
      <c r="J511" s="19">
        <v>0</v>
      </c>
      <c r="K511" s="268"/>
      <c r="L511" s="261"/>
    </row>
    <row r="512" spans="1:12" ht="16.5" x14ac:dyDescent="0.25">
      <c r="A512" s="343"/>
      <c r="B512" s="271"/>
      <c r="C512" s="265"/>
      <c r="D512" s="214">
        <v>2022</v>
      </c>
      <c r="E512" s="19">
        <f t="shared" si="18"/>
        <v>30000</v>
      </c>
      <c r="F512" s="23">
        <v>0</v>
      </c>
      <c r="G512" s="19">
        <v>18000</v>
      </c>
      <c r="H512" s="19">
        <v>12000</v>
      </c>
      <c r="I512" s="19">
        <v>12000</v>
      </c>
      <c r="J512" s="19">
        <v>0</v>
      </c>
      <c r="K512" s="268"/>
      <c r="L512" s="261"/>
    </row>
    <row r="513" spans="1:12" ht="16.5" x14ac:dyDescent="0.25">
      <c r="A513" s="343"/>
      <c r="B513" s="271"/>
      <c r="C513" s="265"/>
      <c r="D513" s="214">
        <v>2023</v>
      </c>
      <c r="E513" s="19">
        <f t="shared" si="18"/>
        <v>0</v>
      </c>
      <c r="F513" s="23">
        <v>0</v>
      </c>
      <c r="G513" s="19">
        <v>0</v>
      </c>
      <c r="H513" s="19">
        <v>0</v>
      </c>
      <c r="I513" s="19">
        <v>0</v>
      </c>
      <c r="J513" s="19">
        <v>0</v>
      </c>
      <c r="K513" s="268"/>
      <c r="L513" s="261"/>
    </row>
    <row r="514" spans="1:12" ht="16.5" x14ac:dyDescent="0.25">
      <c r="A514" s="343"/>
      <c r="B514" s="271"/>
      <c r="C514" s="265"/>
      <c r="D514" s="214">
        <v>2024</v>
      </c>
      <c r="E514" s="19">
        <f t="shared" si="18"/>
        <v>0</v>
      </c>
      <c r="F514" s="23">
        <v>0</v>
      </c>
      <c r="G514" s="19">
        <v>0</v>
      </c>
      <c r="H514" s="19">
        <v>0</v>
      </c>
      <c r="I514" s="19">
        <v>0</v>
      </c>
      <c r="J514" s="19">
        <v>0</v>
      </c>
      <c r="K514" s="268"/>
      <c r="L514" s="261"/>
    </row>
    <row r="515" spans="1:12" ht="16.5" x14ac:dyDescent="0.25">
      <c r="A515" s="343"/>
      <c r="B515" s="271"/>
      <c r="C515" s="265"/>
      <c r="D515" s="214">
        <v>2025</v>
      </c>
      <c r="E515" s="19">
        <f t="shared" si="18"/>
        <v>0</v>
      </c>
      <c r="F515" s="23">
        <v>0</v>
      </c>
      <c r="G515" s="19">
        <v>0</v>
      </c>
      <c r="H515" s="19">
        <v>0</v>
      </c>
      <c r="I515" s="19">
        <v>0</v>
      </c>
      <c r="J515" s="19">
        <v>0</v>
      </c>
      <c r="K515" s="268"/>
      <c r="L515" s="261"/>
    </row>
    <row r="516" spans="1:12" ht="17.25" thickBot="1" x14ac:dyDescent="0.3">
      <c r="A516" s="344"/>
      <c r="B516" s="272"/>
      <c r="C516" s="226"/>
      <c r="D516" s="118">
        <v>2026</v>
      </c>
      <c r="E516" s="22">
        <f t="shared" si="18"/>
        <v>0</v>
      </c>
      <c r="F516" s="24">
        <v>0</v>
      </c>
      <c r="G516" s="22">
        <v>0</v>
      </c>
      <c r="H516" s="22">
        <v>0</v>
      </c>
      <c r="I516" s="22">
        <v>0</v>
      </c>
      <c r="J516" s="22">
        <v>0</v>
      </c>
      <c r="K516" s="269"/>
      <c r="L516" s="262"/>
    </row>
    <row r="517" spans="1:12" ht="16.5" x14ac:dyDescent="0.25">
      <c r="A517" s="342" t="s">
        <v>140</v>
      </c>
      <c r="B517" s="270" t="s">
        <v>141</v>
      </c>
      <c r="C517" s="266" t="e">
        <f>#REF!+#REF!+#REF!+#REF!+#REF!+#REF!+#REF!+#REF!</f>
        <v>#REF!</v>
      </c>
      <c r="D517" s="5">
        <v>2018</v>
      </c>
      <c r="E517" s="21">
        <f t="shared" si="18"/>
        <v>0</v>
      </c>
      <c r="F517" s="21">
        <v>0</v>
      </c>
      <c r="G517" s="21">
        <v>0</v>
      </c>
      <c r="H517" s="21">
        <v>0</v>
      </c>
      <c r="I517" s="21">
        <v>0</v>
      </c>
      <c r="J517" s="21">
        <v>0</v>
      </c>
      <c r="K517" s="267" t="s">
        <v>142</v>
      </c>
      <c r="L517" s="260" t="s">
        <v>12</v>
      </c>
    </row>
    <row r="518" spans="1:12" ht="16.5" x14ac:dyDescent="0.25">
      <c r="A518" s="343"/>
      <c r="B518" s="271"/>
      <c r="C518" s="265"/>
      <c r="D518" s="4">
        <v>2019</v>
      </c>
      <c r="E518" s="19">
        <f t="shared" si="18"/>
        <v>4322</v>
      </c>
      <c r="F518" s="19">
        <v>0</v>
      </c>
      <c r="G518" s="19">
        <v>4105.8999999999996</v>
      </c>
      <c r="H518" s="19">
        <v>216.1</v>
      </c>
      <c r="I518" s="19">
        <v>216.1</v>
      </c>
      <c r="J518" s="19">
        <v>0</v>
      </c>
      <c r="K518" s="268"/>
      <c r="L518" s="261"/>
    </row>
    <row r="519" spans="1:12" ht="16.5" x14ac:dyDescent="0.25">
      <c r="A519" s="343"/>
      <c r="B519" s="271"/>
      <c r="C519" s="265"/>
      <c r="D519" s="214">
        <v>2020</v>
      </c>
      <c r="E519" s="19">
        <f t="shared" si="18"/>
        <v>0</v>
      </c>
      <c r="F519" s="23">
        <v>0</v>
      </c>
      <c r="G519" s="19">
        <v>0</v>
      </c>
      <c r="H519" s="19">
        <v>0</v>
      </c>
      <c r="I519" s="19">
        <v>0</v>
      </c>
      <c r="J519" s="19">
        <v>0</v>
      </c>
      <c r="K519" s="268"/>
      <c r="L519" s="261"/>
    </row>
    <row r="520" spans="1:12" ht="16.5" x14ac:dyDescent="0.25">
      <c r="A520" s="343"/>
      <c r="B520" s="271"/>
      <c r="C520" s="265"/>
      <c r="D520" s="214">
        <v>2021</v>
      </c>
      <c r="E520" s="19">
        <f t="shared" si="18"/>
        <v>0</v>
      </c>
      <c r="F520" s="23">
        <v>0</v>
      </c>
      <c r="G520" s="19">
        <v>0</v>
      </c>
      <c r="H520" s="19">
        <v>0</v>
      </c>
      <c r="I520" s="19">
        <v>0</v>
      </c>
      <c r="J520" s="19">
        <v>0</v>
      </c>
      <c r="K520" s="268"/>
      <c r="L520" s="261"/>
    </row>
    <row r="521" spans="1:12" ht="16.5" x14ac:dyDescent="0.25">
      <c r="A521" s="343"/>
      <c r="B521" s="271"/>
      <c r="C521" s="265"/>
      <c r="D521" s="214">
        <v>2022</v>
      </c>
      <c r="E521" s="19">
        <f t="shared" si="18"/>
        <v>0</v>
      </c>
      <c r="F521" s="23">
        <v>0</v>
      </c>
      <c r="G521" s="19">
        <v>0</v>
      </c>
      <c r="H521" s="19">
        <v>0</v>
      </c>
      <c r="I521" s="19">
        <v>0</v>
      </c>
      <c r="J521" s="19">
        <v>0</v>
      </c>
      <c r="K521" s="268"/>
      <c r="L521" s="261"/>
    </row>
    <row r="522" spans="1:12" ht="16.5" x14ac:dyDescent="0.25">
      <c r="A522" s="343"/>
      <c r="B522" s="271"/>
      <c r="C522" s="265"/>
      <c r="D522" s="214">
        <v>2023</v>
      </c>
      <c r="E522" s="19">
        <f t="shared" si="18"/>
        <v>0</v>
      </c>
      <c r="F522" s="23">
        <v>0</v>
      </c>
      <c r="G522" s="19">
        <v>0</v>
      </c>
      <c r="H522" s="19">
        <v>0</v>
      </c>
      <c r="I522" s="19">
        <v>0</v>
      </c>
      <c r="J522" s="19">
        <v>0</v>
      </c>
      <c r="K522" s="268"/>
      <c r="L522" s="261"/>
    </row>
    <row r="523" spans="1:12" ht="16.5" x14ac:dyDescent="0.25">
      <c r="A523" s="343"/>
      <c r="B523" s="271"/>
      <c r="C523" s="265"/>
      <c r="D523" s="214">
        <v>2024</v>
      </c>
      <c r="E523" s="19">
        <f t="shared" si="18"/>
        <v>0</v>
      </c>
      <c r="F523" s="23">
        <v>0</v>
      </c>
      <c r="G523" s="19">
        <v>0</v>
      </c>
      <c r="H523" s="19">
        <v>0</v>
      </c>
      <c r="I523" s="19">
        <v>0</v>
      </c>
      <c r="J523" s="19">
        <v>0</v>
      </c>
      <c r="K523" s="268"/>
      <c r="L523" s="261"/>
    </row>
    <row r="524" spans="1:12" ht="16.5" x14ac:dyDescent="0.25">
      <c r="A524" s="343"/>
      <c r="B524" s="271"/>
      <c r="C524" s="265"/>
      <c r="D524" s="214">
        <v>2025</v>
      </c>
      <c r="E524" s="19">
        <f t="shared" si="18"/>
        <v>0</v>
      </c>
      <c r="F524" s="23">
        <v>0</v>
      </c>
      <c r="G524" s="19">
        <v>0</v>
      </c>
      <c r="H524" s="19">
        <v>0</v>
      </c>
      <c r="I524" s="19">
        <v>0</v>
      </c>
      <c r="J524" s="19">
        <v>0</v>
      </c>
      <c r="K524" s="268"/>
      <c r="L524" s="261"/>
    </row>
    <row r="525" spans="1:12" ht="17.25" thickBot="1" x14ac:dyDescent="0.3">
      <c r="A525" s="344"/>
      <c r="B525" s="272"/>
      <c r="C525" s="226"/>
      <c r="D525" s="118">
        <v>2026</v>
      </c>
      <c r="E525" s="22">
        <f t="shared" si="18"/>
        <v>0</v>
      </c>
      <c r="F525" s="24">
        <v>0</v>
      </c>
      <c r="G525" s="22">
        <v>0</v>
      </c>
      <c r="H525" s="22">
        <v>0</v>
      </c>
      <c r="I525" s="22">
        <v>0</v>
      </c>
      <c r="J525" s="22">
        <v>0</v>
      </c>
      <c r="K525" s="269"/>
      <c r="L525" s="262"/>
    </row>
    <row r="526" spans="1:12" ht="22.5" customHeight="1" x14ac:dyDescent="0.25">
      <c r="A526" s="342" t="s">
        <v>143</v>
      </c>
      <c r="B526" s="339" t="s">
        <v>191</v>
      </c>
      <c r="C526" s="266" t="e">
        <f>#REF!+#REF!+#REF!+#REF!+#REF!+#REF!+#REF!+#REF!</f>
        <v>#REF!</v>
      </c>
      <c r="D526" s="5">
        <v>2018</v>
      </c>
      <c r="E526" s="21">
        <f t="shared" si="18"/>
        <v>0</v>
      </c>
      <c r="F526" s="21">
        <v>0</v>
      </c>
      <c r="G526" s="21">
        <v>0</v>
      </c>
      <c r="H526" s="21">
        <v>0</v>
      </c>
      <c r="I526" s="21">
        <v>0</v>
      </c>
      <c r="J526" s="21">
        <v>0</v>
      </c>
      <c r="K526" s="267" t="s">
        <v>144</v>
      </c>
      <c r="L526" s="260" t="s">
        <v>139</v>
      </c>
    </row>
    <row r="527" spans="1:12" ht="21.75" customHeight="1" x14ac:dyDescent="0.25">
      <c r="A527" s="343"/>
      <c r="B527" s="340"/>
      <c r="C527" s="265"/>
      <c r="D527" s="4">
        <v>2019</v>
      </c>
      <c r="E527" s="19">
        <f t="shared" si="18"/>
        <v>19638.2</v>
      </c>
      <c r="F527" s="19">
        <v>0</v>
      </c>
      <c r="G527" s="19">
        <v>16951</v>
      </c>
      <c r="H527" s="19">
        <v>2687.2</v>
      </c>
      <c r="I527" s="19">
        <v>1883.5</v>
      </c>
      <c r="J527" s="19">
        <v>0</v>
      </c>
      <c r="K527" s="268"/>
      <c r="L527" s="261"/>
    </row>
    <row r="528" spans="1:12" ht="21.75" customHeight="1" x14ac:dyDescent="0.25">
      <c r="A528" s="343"/>
      <c r="B528" s="340"/>
      <c r="C528" s="265"/>
      <c r="D528" s="214">
        <v>2020</v>
      </c>
      <c r="E528" s="19">
        <f t="shared" si="18"/>
        <v>216.1</v>
      </c>
      <c r="F528" s="23">
        <v>0</v>
      </c>
      <c r="G528" s="19">
        <v>0</v>
      </c>
      <c r="H528" s="19">
        <v>216.1</v>
      </c>
      <c r="I528" s="19">
        <v>0</v>
      </c>
      <c r="J528" s="19">
        <v>0</v>
      </c>
      <c r="K528" s="268"/>
      <c r="L528" s="261"/>
    </row>
    <row r="529" spans="1:12" ht="22.5" customHeight="1" x14ac:dyDescent="0.25">
      <c r="A529" s="343"/>
      <c r="B529" s="340"/>
      <c r="C529" s="265"/>
      <c r="D529" s="214">
        <v>2021</v>
      </c>
      <c r="E529" s="19">
        <f t="shared" si="18"/>
        <v>0</v>
      </c>
      <c r="F529" s="23">
        <v>0</v>
      </c>
      <c r="G529" s="19">
        <v>0</v>
      </c>
      <c r="H529" s="19">
        <v>0</v>
      </c>
      <c r="I529" s="19">
        <v>0</v>
      </c>
      <c r="J529" s="19">
        <v>0</v>
      </c>
      <c r="K529" s="268"/>
      <c r="L529" s="261"/>
    </row>
    <row r="530" spans="1:12" ht="22.5" customHeight="1" x14ac:dyDescent="0.25">
      <c r="A530" s="343"/>
      <c r="B530" s="340"/>
      <c r="C530" s="265"/>
      <c r="D530" s="214">
        <v>2022</v>
      </c>
      <c r="E530" s="19">
        <f t="shared" si="18"/>
        <v>0</v>
      </c>
      <c r="F530" s="23">
        <v>0</v>
      </c>
      <c r="G530" s="19">
        <v>0</v>
      </c>
      <c r="H530" s="19">
        <v>0</v>
      </c>
      <c r="I530" s="19">
        <v>0</v>
      </c>
      <c r="J530" s="19">
        <v>0</v>
      </c>
      <c r="K530" s="268"/>
      <c r="L530" s="261"/>
    </row>
    <row r="531" spans="1:12" ht="22.5" customHeight="1" x14ac:dyDescent="0.25">
      <c r="A531" s="343"/>
      <c r="B531" s="340"/>
      <c r="C531" s="265"/>
      <c r="D531" s="214">
        <v>2023</v>
      </c>
      <c r="E531" s="19">
        <f t="shared" si="18"/>
        <v>0</v>
      </c>
      <c r="F531" s="23">
        <v>0</v>
      </c>
      <c r="G531" s="19">
        <v>0</v>
      </c>
      <c r="H531" s="19">
        <v>0</v>
      </c>
      <c r="I531" s="19">
        <v>0</v>
      </c>
      <c r="J531" s="19">
        <v>0</v>
      </c>
      <c r="K531" s="268"/>
      <c r="L531" s="261"/>
    </row>
    <row r="532" spans="1:12" ht="22.5" customHeight="1" x14ac:dyDescent="0.25">
      <c r="A532" s="343"/>
      <c r="B532" s="340"/>
      <c r="C532" s="265"/>
      <c r="D532" s="214">
        <v>2024</v>
      </c>
      <c r="E532" s="19">
        <f t="shared" si="18"/>
        <v>0</v>
      </c>
      <c r="F532" s="23">
        <v>0</v>
      </c>
      <c r="G532" s="19">
        <v>0</v>
      </c>
      <c r="H532" s="19">
        <v>0</v>
      </c>
      <c r="I532" s="19">
        <v>0</v>
      </c>
      <c r="J532" s="19">
        <v>0</v>
      </c>
      <c r="K532" s="268"/>
      <c r="L532" s="261"/>
    </row>
    <row r="533" spans="1:12" ht="22.5" customHeight="1" x14ac:dyDescent="0.25">
      <c r="A533" s="343"/>
      <c r="B533" s="340"/>
      <c r="C533" s="265"/>
      <c r="D533" s="214">
        <v>2025</v>
      </c>
      <c r="E533" s="19">
        <f t="shared" si="18"/>
        <v>0</v>
      </c>
      <c r="F533" s="23">
        <v>0</v>
      </c>
      <c r="G533" s="19">
        <v>0</v>
      </c>
      <c r="H533" s="19">
        <v>0</v>
      </c>
      <c r="I533" s="19">
        <v>0</v>
      </c>
      <c r="J533" s="19">
        <v>0</v>
      </c>
      <c r="K533" s="268"/>
      <c r="L533" s="261"/>
    </row>
    <row r="534" spans="1:12" ht="22.5" customHeight="1" thickBot="1" x14ac:dyDescent="0.3">
      <c r="A534" s="344"/>
      <c r="B534" s="341"/>
      <c r="C534" s="226"/>
      <c r="D534" s="118">
        <v>2026</v>
      </c>
      <c r="E534" s="22">
        <f t="shared" si="18"/>
        <v>0</v>
      </c>
      <c r="F534" s="24">
        <v>0</v>
      </c>
      <c r="G534" s="22">
        <v>0</v>
      </c>
      <c r="H534" s="22">
        <v>0</v>
      </c>
      <c r="I534" s="22">
        <v>0</v>
      </c>
      <c r="J534" s="22">
        <v>0</v>
      </c>
      <c r="K534" s="269"/>
      <c r="L534" s="262"/>
    </row>
    <row r="535" spans="1:12" ht="17.25" thickBot="1" x14ac:dyDescent="0.3">
      <c r="A535" s="40">
        <v>1</v>
      </c>
      <c r="B535" s="40">
        <v>2</v>
      </c>
      <c r="C535" s="40"/>
      <c r="D535" s="40">
        <v>3</v>
      </c>
      <c r="E535" s="40">
        <v>4</v>
      </c>
      <c r="F535" s="40">
        <v>5</v>
      </c>
      <c r="G535" s="40">
        <v>6</v>
      </c>
      <c r="H535" s="40">
        <v>7</v>
      </c>
      <c r="I535" s="40">
        <v>8</v>
      </c>
      <c r="J535" s="40">
        <v>9</v>
      </c>
      <c r="K535" s="78">
        <v>10</v>
      </c>
      <c r="L535" s="78">
        <v>11</v>
      </c>
    </row>
    <row r="536" spans="1:12" ht="22.5" customHeight="1" x14ac:dyDescent="0.25">
      <c r="A536" s="342" t="s">
        <v>145</v>
      </c>
      <c r="B536" s="339" t="s">
        <v>192</v>
      </c>
      <c r="C536" s="266" t="e">
        <f>#REF!+#REF!+#REF!+#REF!+#REF!+#REF!+#REF!+#REF!</f>
        <v>#REF!</v>
      </c>
      <c r="D536" s="5">
        <v>2018</v>
      </c>
      <c r="E536" s="21">
        <f t="shared" si="18"/>
        <v>0</v>
      </c>
      <c r="F536" s="21">
        <v>0</v>
      </c>
      <c r="G536" s="21">
        <v>0</v>
      </c>
      <c r="H536" s="21">
        <v>0</v>
      </c>
      <c r="I536" s="21">
        <v>0</v>
      </c>
      <c r="J536" s="21">
        <v>0</v>
      </c>
      <c r="K536" s="267" t="s">
        <v>146</v>
      </c>
      <c r="L536" s="260" t="s">
        <v>12</v>
      </c>
    </row>
    <row r="537" spans="1:12" ht="22.5" customHeight="1" x14ac:dyDescent="0.25">
      <c r="A537" s="343"/>
      <c r="B537" s="340"/>
      <c r="C537" s="265"/>
      <c r="D537" s="4">
        <v>2019</v>
      </c>
      <c r="E537" s="19">
        <f t="shared" si="18"/>
        <v>0</v>
      </c>
      <c r="F537" s="19">
        <v>0</v>
      </c>
      <c r="G537" s="19">
        <v>0</v>
      </c>
      <c r="H537" s="19">
        <v>0</v>
      </c>
      <c r="I537" s="19">
        <v>0</v>
      </c>
      <c r="J537" s="19">
        <v>0</v>
      </c>
      <c r="K537" s="268"/>
      <c r="L537" s="261"/>
    </row>
    <row r="538" spans="1:12" ht="22.5" customHeight="1" x14ac:dyDescent="0.25">
      <c r="A538" s="343"/>
      <c r="B538" s="340"/>
      <c r="C538" s="265"/>
      <c r="D538" s="214">
        <v>2020</v>
      </c>
      <c r="E538" s="19">
        <f t="shared" si="18"/>
        <v>19536.2</v>
      </c>
      <c r="F538" s="23">
        <v>0</v>
      </c>
      <c r="G538" s="19">
        <v>16347.5</v>
      </c>
      <c r="H538" s="19">
        <v>3188.7</v>
      </c>
      <c r="I538" s="19">
        <v>1877.2</v>
      </c>
      <c r="J538" s="19">
        <v>0</v>
      </c>
      <c r="K538" s="268"/>
      <c r="L538" s="261"/>
    </row>
    <row r="539" spans="1:12" ht="22.5" customHeight="1" x14ac:dyDescent="0.25">
      <c r="A539" s="343"/>
      <c r="B539" s="340"/>
      <c r="C539" s="265"/>
      <c r="D539" s="214">
        <v>2021</v>
      </c>
      <c r="E539" s="19">
        <f t="shared" si="18"/>
        <v>30612.899999999998</v>
      </c>
      <c r="F539" s="23">
        <v>0</v>
      </c>
      <c r="G539" s="19">
        <v>26865.1</v>
      </c>
      <c r="H539" s="19">
        <v>3747.8</v>
      </c>
      <c r="I539" s="19">
        <v>2986.1</v>
      </c>
      <c r="J539" s="19">
        <v>0</v>
      </c>
      <c r="K539" s="268"/>
      <c r="L539" s="261"/>
    </row>
    <row r="540" spans="1:12" ht="22.5" customHeight="1" x14ac:dyDescent="0.25">
      <c r="A540" s="343"/>
      <c r="B540" s="340"/>
      <c r="C540" s="265"/>
      <c r="D540" s="214">
        <v>2022</v>
      </c>
      <c r="E540" s="19">
        <f t="shared" si="18"/>
        <v>0</v>
      </c>
      <c r="F540" s="23">
        <v>0</v>
      </c>
      <c r="G540" s="19">
        <v>0</v>
      </c>
      <c r="H540" s="19">
        <v>0</v>
      </c>
      <c r="I540" s="19">
        <v>0</v>
      </c>
      <c r="J540" s="19">
        <v>0</v>
      </c>
      <c r="K540" s="268"/>
      <c r="L540" s="261"/>
    </row>
    <row r="541" spans="1:12" ht="22.5" customHeight="1" x14ac:dyDescent="0.25">
      <c r="A541" s="343"/>
      <c r="B541" s="340"/>
      <c r="C541" s="265"/>
      <c r="D541" s="214">
        <v>2023</v>
      </c>
      <c r="E541" s="19">
        <f>F541+G541+H541+J541</f>
        <v>2829.5</v>
      </c>
      <c r="F541" s="23">
        <v>0</v>
      </c>
      <c r="G541" s="19">
        <f>2674.4-127.9</f>
        <v>2546.5</v>
      </c>
      <c r="H541" s="19">
        <f>297.2-14.2</f>
        <v>283</v>
      </c>
      <c r="I541" s="19">
        <f>297.2-14.2</f>
        <v>283</v>
      </c>
      <c r="J541" s="19">
        <v>0</v>
      </c>
      <c r="K541" s="268"/>
      <c r="L541" s="261"/>
    </row>
    <row r="542" spans="1:12" ht="22.5" customHeight="1" x14ac:dyDescent="0.25">
      <c r="A542" s="343"/>
      <c r="B542" s="340"/>
      <c r="C542" s="265"/>
      <c r="D542" s="214">
        <v>2024</v>
      </c>
      <c r="E542" s="19">
        <f>F542+G542+H542+J542</f>
        <v>23947.100000000002</v>
      </c>
      <c r="F542" s="23">
        <v>0</v>
      </c>
      <c r="G542" s="138">
        <f>11526.6+3454.1+2007.2</f>
        <v>16987.900000000001</v>
      </c>
      <c r="H542" s="138">
        <f>2034.2+354.3+609.6+3961.1</f>
        <v>6959.2</v>
      </c>
      <c r="I542" s="138">
        <f>2034.2+609.6+354.3</f>
        <v>2998.1000000000004</v>
      </c>
      <c r="J542" s="19">
        <v>0</v>
      </c>
      <c r="K542" s="268"/>
      <c r="L542" s="261"/>
    </row>
    <row r="543" spans="1:12" ht="22.5" customHeight="1" x14ac:dyDescent="0.25">
      <c r="A543" s="343"/>
      <c r="B543" s="340"/>
      <c r="C543" s="265"/>
      <c r="D543" s="214">
        <v>2025</v>
      </c>
      <c r="E543" s="19">
        <f t="shared" si="18"/>
        <v>0</v>
      </c>
      <c r="F543" s="23">
        <v>0</v>
      </c>
      <c r="G543" s="138">
        <v>0</v>
      </c>
      <c r="H543" s="138">
        <v>0</v>
      </c>
      <c r="I543" s="138">
        <v>0</v>
      </c>
      <c r="J543" s="19">
        <v>0</v>
      </c>
      <c r="K543" s="268"/>
      <c r="L543" s="261"/>
    </row>
    <row r="544" spans="1:12" ht="22.5" customHeight="1" thickBot="1" x14ac:dyDescent="0.3">
      <c r="A544" s="344"/>
      <c r="B544" s="341"/>
      <c r="C544" s="226"/>
      <c r="D544" s="118">
        <v>2026</v>
      </c>
      <c r="E544" s="22">
        <f t="shared" si="18"/>
        <v>0</v>
      </c>
      <c r="F544" s="24">
        <v>0</v>
      </c>
      <c r="G544" s="139">
        <v>0</v>
      </c>
      <c r="H544" s="139">
        <v>0</v>
      </c>
      <c r="I544" s="139">
        <v>0</v>
      </c>
      <c r="J544" s="22">
        <v>0</v>
      </c>
      <c r="K544" s="269"/>
      <c r="L544" s="262"/>
    </row>
    <row r="545" spans="1:12" ht="22.5" customHeight="1" x14ac:dyDescent="0.25">
      <c r="A545" s="342" t="s">
        <v>147</v>
      </c>
      <c r="B545" s="339" t="s">
        <v>193</v>
      </c>
      <c r="C545" s="266" t="e">
        <f>#REF!+#REF!+#REF!+#REF!+#REF!+#REF!+#REF!+#REF!</f>
        <v>#REF!</v>
      </c>
      <c r="D545" s="5">
        <v>2018</v>
      </c>
      <c r="E545" s="21">
        <f t="shared" si="18"/>
        <v>0</v>
      </c>
      <c r="F545" s="21">
        <v>0</v>
      </c>
      <c r="G545" s="21">
        <v>0</v>
      </c>
      <c r="H545" s="21">
        <v>0</v>
      </c>
      <c r="I545" s="21">
        <v>0</v>
      </c>
      <c r="J545" s="21">
        <v>0</v>
      </c>
      <c r="K545" s="267" t="s">
        <v>148</v>
      </c>
      <c r="L545" s="260" t="s">
        <v>12</v>
      </c>
    </row>
    <row r="546" spans="1:12" ht="22.5" customHeight="1" x14ac:dyDescent="0.25">
      <c r="A546" s="343"/>
      <c r="B546" s="340"/>
      <c r="C546" s="265"/>
      <c r="D546" s="4">
        <v>2019</v>
      </c>
      <c r="E546" s="19">
        <f t="shared" ref="E546:E619" si="19">F546+G546+H546+J546</f>
        <v>3371</v>
      </c>
      <c r="F546" s="19">
        <v>0</v>
      </c>
      <c r="G546" s="19">
        <v>3202.4</v>
      </c>
      <c r="H546" s="19">
        <v>168.6</v>
      </c>
      <c r="I546" s="19">
        <v>168.6</v>
      </c>
      <c r="J546" s="19">
        <v>0</v>
      </c>
      <c r="K546" s="268"/>
      <c r="L546" s="261"/>
    </row>
    <row r="547" spans="1:12" ht="22.5" customHeight="1" x14ac:dyDescent="0.25">
      <c r="A547" s="343"/>
      <c r="B547" s="340"/>
      <c r="C547" s="265"/>
      <c r="D547" s="214">
        <v>2020</v>
      </c>
      <c r="E547" s="19">
        <f t="shared" si="19"/>
        <v>0</v>
      </c>
      <c r="F547" s="23">
        <v>0</v>
      </c>
      <c r="G547" s="19">
        <v>0</v>
      </c>
      <c r="H547" s="19">
        <v>0</v>
      </c>
      <c r="I547" s="19">
        <v>0</v>
      </c>
      <c r="J547" s="19">
        <v>0</v>
      </c>
      <c r="K547" s="268"/>
      <c r="L547" s="261"/>
    </row>
    <row r="548" spans="1:12" ht="22.5" customHeight="1" x14ac:dyDescent="0.25">
      <c r="A548" s="343"/>
      <c r="B548" s="340"/>
      <c r="C548" s="265"/>
      <c r="D548" s="214">
        <v>2021</v>
      </c>
      <c r="E548" s="19">
        <f t="shared" si="19"/>
        <v>0</v>
      </c>
      <c r="F548" s="23">
        <v>0</v>
      </c>
      <c r="G548" s="19">
        <v>0</v>
      </c>
      <c r="H548" s="19">
        <v>0</v>
      </c>
      <c r="I548" s="19">
        <v>0</v>
      </c>
      <c r="J548" s="19">
        <v>0</v>
      </c>
      <c r="K548" s="268"/>
      <c r="L548" s="261"/>
    </row>
    <row r="549" spans="1:12" ht="22.5" customHeight="1" x14ac:dyDescent="0.25">
      <c r="A549" s="343"/>
      <c r="B549" s="340"/>
      <c r="C549" s="265"/>
      <c r="D549" s="214">
        <v>2022</v>
      </c>
      <c r="E549" s="19">
        <f t="shared" si="19"/>
        <v>0</v>
      </c>
      <c r="F549" s="23">
        <v>0</v>
      </c>
      <c r="G549" s="19">
        <v>0</v>
      </c>
      <c r="H549" s="19">
        <v>0</v>
      </c>
      <c r="I549" s="19">
        <v>0</v>
      </c>
      <c r="J549" s="19">
        <v>0</v>
      </c>
      <c r="K549" s="268"/>
      <c r="L549" s="261"/>
    </row>
    <row r="550" spans="1:12" ht="22.5" customHeight="1" x14ac:dyDescent="0.25">
      <c r="A550" s="343"/>
      <c r="B550" s="340"/>
      <c r="C550" s="265"/>
      <c r="D550" s="214">
        <v>2023</v>
      </c>
      <c r="E550" s="19">
        <f t="shared" si="19"/>
        <v>0</v>
      </c>
      <c r="F550" s="46">
        <v>0</v>
      </c>
      <c r="G550" s="19">
        <v>0</v>
      </c>
      <c r="H550" s="19">
        <v>0</v>
      </c>
      <c r="I550" s="19">
        <v>0</v>
      </c>
      <c r="J550" s="19">
        <v>0</v>
      </c>
      <c r="K550" s="268"/>
      <c r="L550" s="261"/>
    </row>
    <row r="551" spans="1:12" ht="22.5" customHeight="1" x14ac:dyDescent="0.25">
      <c r="A551" s="343"/>
      <c r="B551" s="340"/>
      <c r="C551" s="265"/>
      <c r="D551" s="214">
        <v>2024</v>
      </c>
      <c r="E551" s="19">
        <f t="shared" si="19"/>
        <v>0</v>
      </c>
      <c r="F551" s="46">
        <v>0</v>
      </c>
      <c r="G551" s="19">
        <v>0</v>
      </c>
      <c r="H551" s="19">
        <v>0</v>
      </c>
      <c r="I551" s="19">
        <v>0</v>
      </c>
      <c r="J551" s="19">
        <v>0</v>
      </c>
      <c r="K551" s="268"/>
      <c r="L551" s="261"/>
    </row>
    <row r="552" spans="1:12" ht="22.5" customHeight="1" x14ac:dyDescent="0.25">
      <c r="A552" s="343"/>
      <c r="B552" s="340"/>
      <c r="C552" s="265"/>
      <c r="D552" s="214">
        <v>2025</v>
      </c>
      <c r="E552" s="19">
        <f t="shared" si="19"/>
        <v>0</v>
      </c>
      <c r="F552" s="46">
        <v>0</v>
      </c>
      <c r="G552" s="19">
        <v>0</v>
      </c>
      <c r="H552" s="19">
        <v>0</v>
      </c>
      <c r="I552" s="19">
        <v>0</v>
      </c>
      <c r="J552" s="19">
        <v>0</v>
      </c>
      <c r="K552" s="268"/>
      <c r="L552" s="261"/>
    </row>
    <row r="553" spans="1:12" ht="22.5" customHeight="1" thickBot="1" x14ac:dyDescent="0.3">
      <c r="A553" s="344"/>
      <c r="B553" s="341"/>
      <c r="C553" s="226"/>
      <c r="D553" s="118">
        <v>2026</v>
      </c>
      <c r="E553" s="22">
        <f t="shared" si="19"/>
        <v>0</v>
      </c>
      <c r="F553" s="67">
        <v>0</v>
      </c>
      <c r="G553" s="22">
        <v>0</v>
      </c>
      <c r="H553" s="22">
        <v>0</v>
      </c>
      <c r="I553" s="22">
        <v>0</v>
      </c>
      <c r="J553" s="22">
        <v>0</v>
      </c>
      <c r="K553" s="269"/>
      <c r="L553" s="262"/>
    </row>
    <row r="554" spans="1:12" ht="21.6" customHeight="1" x14ac:dyDescent="0.25">
      <c r="A554" s="342" t="s">
        <v>149</v>
      </c>
      <c r="B554" s="339" t="s">
        <v>190</v>
      </c>
      <c r="C554" s="266" t="e">
        <f>#REF!+#REF!+#REF!+#REF!+#REF!+#REF!+#REF!+#REF!</f>
        <v>#REF!</v>
      </c>
      <c r="D554" s="5">
        <v>2018</v>
      </c>
      <c r="E554" s="21">
        <f t="shared" si="19"/>
        <v>0</v>
      </c>
      <c r="F554" s="21">
        <v>0</v>
      </c>
      <c r="G554" s="21">
        <v>0</v>
      </c>
      <c r="H554" s="21">
        <v>0</v>
      </c>
      <c r="I554" s="21">
        <v>0</v>
      </c>
      <c r="J554" s="21">
        <v>0</v>
      </c>
      <c r="K554" s="267" t="s">
        <v>150</v>
      </c>
      <c r="L554" s="260" t="s">
        <v>12</v>
      </c>
    </row>
    <row r="555" spans="1:12" ht="21.6" customHeight="1" x14ac:dyDescent="0.25">
      <c r="A555" s="343"/>
      <c r="B555" s="340"/>
      <c r="C555" s="265"/>
      <c r="D555" s="4">
        <v>2019</v>
      </c>
      <c r="E555" s="19">
        <f t="shared" si="19"/>
        <v>0</v>
      </c>
      <c r="F555" s="19">
        <v>0</v>
      </c>
      <c r="G555" s="19">
        <v>0</v>
      </c>
      <c r="H555" s="19">
        <v>0</v>
      </c>
      <c r="I555" s="19">
        <v>0</v>
      </c>
      <c r="J555" s="19">
        <v>0</v>
      </c>
      <c r="K555" s="268"/>
      <c r="L555" s="261"/>
    </row>
    <row r="556" spans="1:12" ht="21.6" customHeight="1" x14ac:dyDescent="0.25">
      <c r="A556" s="343"/>
      <c r="B556" s="340"/>
      <c r="C556" s="265"/>
      <c r="D556" s="214">
        <v>2020</v>
      </c>
      <c r="E556" s="19">
        <f t="shared" si="19"/>
        <v>1175.8999999999999</v>
      </c>
      <c r="F556" s="23">
        <v>0</v>
      </c>
      <c r="G556" s="19">
        <v>1117.0999999999999</v>
      </c>
      <c r="H556" s="19">
        <v>58.8</v>
      </c>
      <c r="I556" s="19">
        <v>58.8</v>
      </c>
      <c r="J556" s="19">
        <v>0</v>
      </c>
      <c r="K556" s="268"/>
      <c r="L556" s="261"/>
    </row>
    <row r="557" spans="1:12" ht="21.6" customHeight="1" x14ac:dyDescent="0.25">
      <c r="A557" s="343"/>
      <c r="B557" s="340"/>
      <c r="C557" s="265"/>
      <c r="D557" s="214">
        <v>2021</v>
      </c>
      <c r="E557" s="19">
        <f t="shared" si="19"/>
        <v>0</v>
      </c>
      <c r="F557" s="23">
        <v>0</v>
      </c>
      <c r="G557" s="19">
        <v>0</v>
      </c>
      <c r="H557" s="19">
        <v>0</v>
      </c>
      <c r="I557" s="19">
        <v>0</v>
      </c>
      <c r="J557" s="19">
        <v>0</v>
      </c>
      <c r="K557" s="268"/>
      <c r="L557" s="261"/>
    </row>
    <row r="558" spans="1:12" ht="21.6" customHeight="1" x14ac:dyDescent="0.25">
      <c r="A558" s="343"/>
      <c r="B558" s="340"/>
      <c r="C558" s="265"/>
      <c r="D558" s="214">
        <v>2022</v>
      </c>
      <c r="E558" s="19">
        <f t="shared" si="19"/>
        <v>0</v>
      </c>
      <c r="F558" s="23">
        <v>0</v>
      </c>
      <c r="G558" s="19">
        <v>0</v>
      </c>
      <c r="H558" s="19">
        <v>0</v>
      </c>
      <c r="I558" s="19">
        <v>0</v>
      </c>
      <c r="J558" s="19">
        <v>0</v>
      </c>
      <c r="K558" s="268"/>
      <c r="L558" s="261"/>
    </row>
    <row r="559" spans="1:12" ht="21.6" customHeight="1" x14ac:dyDescent="0.25">
      <c r="A559" s="343"/>
      <c r="B559" s="340"/>
      <c r="C559" s="265"/>
      <c r="D559" s="214">
        <v>2023</v>
      </c>
      <c r="E559" s="19">
        <f t="shared" si="19"/>
        <v>0</v>
      </c>
      <c r="F559" s="23">
        <v>0</v>
      </c>
      <c r="G559" s="19">
        <v>0</v>
      </c>
      <c r="H559" s="19">
        <v>0</v>
      </c>
      <c r="I559" s="19">
        <v>0</v>
      </c>
      <c r="J559" s="19">
        <v>0</v>
      </c>
      <c r="K559" s="268"/>
      <c r="L559" s="261"/>
    </row>
    <row r="560" spans="1:12" ht="21.6" customHeight="1" x14ac:dyDescent="0.25">
      <c r="A560" s="343"/>
      <c r="B560" s="340"/>
      <c r="C560" s="265"/>
      <c r="D560" s="214">
        <v>2024</v>
      </c>
      <c r="E560" s="19">
        <f t="shared" si="19"/>
        <v>0</v>
      </c>
      <c r="F560" s="23">
        <v>0</v>
      </c>
      <c r="G560" s="19">
        <v>0</v>
      </c>
      <c r="H560" s="19">
        <v>0</v>
      </c>
      <c r="I560" s="19">
        <v>0</v>
      </c>
      <c r="J560" s="19">
        <v>0</v>
      </c>
      <c r="K560" s="268"/>
      <c r="L560" s="261"/>
    </row>
    <row r="561" spans="1:12" ht="21.6" customHeight="1" x14ac:dyDescent="0.25">
      <c r="A561" s="343"/>
      <c r="B561" s="340"/>
      <c r="C561" s="265"/>
      <c r="D561" s="214">
        <v>2025</v>
      </c>
      <c r="E561" s="19">
        <f t="shared" si="19"/>
        <v>0</v>
      </c>
      <c r="F561" s="23">
        <v>0</v>
      </c>
      <c r="G561" s="19">
        <v>0</v>
      </c>
      <c r="H561" s="19">
        <v>0</v>
      </c>
      <c r="I561" s="19">
        <v>0</v>
      </c>
      <c r="J561" s="19">
        <v>0</v>
      </c>
      <c r="K561" s="268"/>
      <c r="L561" s="261"/>
    </row>
    <row r="562" spans="1:12" ht="21.6" customHeight="1" thickBot="1" x14ac:dyDescent="0.3">
      <c r="A562" s="344"/>
      <c r="B562" s="341"/>
      <c r="C562" s="226"/>
      <c r="D562" s="118">
        <v>2026</v>
      </c>
      <c r="E562" s="22">
        <f t="shared" si="19"/>
        <v>0</v>
      </c>
      <c r="F562" s="24">
        <v>0</v>
      </c>
      <c r="G562" s="22">
        <v>0</v>
      </c>
      <c r="H562" s="22">
        <v>0</v>
      </c>
      <c r="I562" s="22">
        <v>0</v>
      </c>
      <c r="J562" s="22">
        <v>0</v>
      </c>
      <c r="K562" s="269"/>
      <c r="L562" s="262"/>
    </row>
    <row r="563" spans="1:12" ht="16.5" x14ac:dyDescent="0.25">
      <c r="A563" s="342" t="s">
        <v>151</v>
      </c>
      <c r="B563" s="270" t="s">
        <v>152</v>
      </c>
      <c r="C563" s="266" t="e">
        <f>#REF!+#REF!+#REF!+#REF!+#REF!+#REF!+#REF!+#REF!</f>
        <v>#REF!</v>
      </c>
      <c r="D563" s="5">
        <v>2018</v>
      </c>
      <c r="E563" s="21">
        <f t="shared" si="19"/>
        <v>0</v>
      </c>
      <c r="F563" s="21">
        <v>0</v>
      </c>
      <c r="G563" s="21">
        <v>0</v>
      </c>
      <c r="H563" s="21">
        <v>0</v>
      </c>
      <c r="I563" s="21">
        <v>0</v>
      </c>
      <c r="J563" s="21">
        <v>0</v>
      </c>
      <c r="K563" s="267" t="s">
        <v>153</v>
      </c>
      <c r="L563" s="260" t="s">
        <v>38</v>
      </c>
    </row>
    <row r="564" spans="1:12" ht="16.5" x14ac:dyDescent="0.25">
      <c r="A564" s="343"/>
      <c r="B564" s="271"/>
      <c r="C564" s="265"/>
      <c r="D564" s="4">
        <v>2019</v>
      </c>
      <c r="E564" s="19">
        <f t="shared" si="19"/>
        <v>216.8</v>
      </c>
      <c r="F564" s="19">
        <v>0</v>
      </c>
      <c r="G564" s="19">
        <v>0</v>
      </c>
      <c r="H564" s="19">
        <v>216.8</v>
      </c>
      <c r="I564" s="19">
        <v>0</v>
      </c>
      <c r="J564" s="19">
        <v>0</v>
      </c>
      <c r="K564" s="268"/>
      <c r="L564" s="261"/>
    </row>
    <row r="565" spans="1:12" ht="16.5" x14ac:dyDescent="0.25">
      <c r="A565" s="343"/>
      <c r="B565" s="271"/>
      <c r="C565" s="265"/>
      <c r="D565" s="214">
        <v>2020</v>
      </c>
      <c r="E565" s="19">
        <f t="shared" si="19"/>
        <v>0</v>
      </c>
      <c r="F565" s="23">
        <v>0</v>
      </c>
      <c r="G565" s="19">
        <v>0</v>
      </c>
      <c r="H565" s="19">
        <v>0</v>
      </c>
      <c r="I565" s="19">
        <v>0</v>
      </c>
      <c r="J565" s="19">
        <v>0</v>
      </c>
      <c r="K565" s="268"/>
      <c r="L565" s="261"/>
    </row>
    <row r="566" spans="1:12" ht="16.5" x14ac:dyDescent="0.25">
      <c r="A566" s="343"/>
      <c r="B566" s="271"/>
      <c r="C566" s="265"/>
      <c r="D566" s="214">
        <v>2021</v>
      </c>
      <c r="E566" s="19">
        <f t="shared" si="19"/>
        <v>0</v>
      </c>
      <c r="F566" s="23">
        <v>0</v>
      </c>
      <c r="G566" s="19">
        <v>0</v>
      </c>
      <c r="H566" s="19">
        <v>0</v>
      </c>
      <c r="I566" s="19">
        <v>0</v>
      </c>
      <c r="J566" s="19">
        <v>0</v>
      </c>
      <c r="K566" s="268"/>
      <c r="L566" s="261"/>
    </row>
    <row r="567" spans="1:12" ht="16.5" x14ac:dyDescent="0.25">
      <c r="A567" s="343"/>
      <c r="B567" s="271"/>
      <c r="C567" s="265"/>
      <c r="D567" s="214">
        <v>2022</v>
      </c>
      <c r="E567" s="19">
        <f t="shared" si="19"/>
        <v>0</v>
      </c>
      <c r="F567" s="23">
        <v>0</v>
      </c>
      <c r="G567" s="19">
        <v>0</v>
      </c>
      <c r="H567" s="19">
        <v>0</v>
      </c>
      <c r="I567" s="19">
        <v>0</v>
      </c>
      <c r="J567" s="19">
        <v>0</v>
      </c>
      <c r="K567" s="268"/>
      <c r="L567" s="261"/>
    </row>
    <row r="568" spans="1:12" ht="16.5" x14ac:dyDescent="0.25">
      <c r="A568" s="343"/>
      <c r="B568" s="271"/>
      <c r="C568" s="265"/>
      <c r="D568" s="214">
        <v>2023</v>
      </c>
      <c r="E568" s="19">
        <f t="shared" si="19"/>
        <v>0</v>
      </c>
      <c r="F568" s="23">
        <v>0</v>
      </c>
      <c r="G568" s="19">
        <v>0</v>
      </c>
      <c r="H568" s="19">
        <v>0</v>
      </c>
      <c r="I568" s="19">
        <v>0</v>
      </c>
      <c r="J568" s="19">
        <v>0</v>
      </c>
      <c r="K568" s="268"/>
      <c r="L568" s="261"/>
    </row>
    <row r="569" spans="1:12" ht="16.5" x14ac:dyDescent="0.25">
      <c r="A569" s="343"/>
      <c r="B569" s="271"/>
      <c r="C569" s="265"/>
      <c r="D569" s="214">
        <v>2024</v>
      </c>
      <c r="E569" s="19">
        <f t="shared" si="19"/>
        <v>0</v>
      </c>
      <c r="F569" s="23">
        <v>0</v>
      </c>
      <c r="G569" s="19">
        <v>0</v>
      </c>
      <c r="H569" s="19">
        <v>0</v>
      </c>
      <c r="I569" s="19">
        <v>0</v>
      </c>
      <c r="J569" s="19">
        <v>0</v>
      </c>
      <c r="K569" s="268"/>
      <c r="L569" s="261"/>
    </row>
    <row r="570" spans="1:12" ht="16.5" x14ac:dyDescent="0.25">
      <c r="A570" s="343"/>
      <c r="B570" s="271"/>
      <c r="C570" s="265"/>
      <c r="D570" s="214">
        <v>2025</v>
      </c>
      <c r="E570" s="19">
        <f t="shared" si="19"/>
        <v>0</v>
      </c>
      <c r="F570" s="23">
        <v>0</v>
      </c>
      <c r="G570" s="19">
        <v>0</v>
      </c>
      <c r="H570" s="19">
        <v>0</v>
      </c>
      <c r="I570" s="19">
        <v>0</v>
      </c>
      <c r="J570" s="19">
        <v>0</v>
      </c>
      <c r="K570" s="268"/>
      <c r="L570" s="261"/>
    </row>
    <row r="571" spans="1:12" ht="17.25" thickBot="1" x14ac:dyDescent="0.3">
      <c r="A571" s="344"/>
      <c r="B571" s="272"/>
      <c r="C571" s="226"/>
      <c r="D571" s="118">
        <v>2026</v>
      </c>
      <c r="E571" s="22">
        <f t="shared" si="19"/>
        <v>0</v>
      </c>
      <c r="F571" s="24">
        <v>0</v>
      </c>
      <c r="G571" s="22">
        <v>0</v>
      </c>
      <c r="H571" s="22">
        <v>0</v>
      </c>
      <c r="I571" s="22">
        <v>0</v>
      </c>
      <c r="J571" s="22">
        <v>0</v>
      </c>
      <c r="K571" s="269"/>
      <c r="L571" s="262"/>
    </row>
    <row r="572" spans="1:12" ht="21.95" customHeight="1" x14ac:dyDescent="0.25">
      <c r="A572" s="342" t="s">
        <v>154</v>
      </c>
      <c r="B572" s="270" t="s">
        <v>189</v>
      </c>
      <c r="C572" s="266" t="e">
        <f>#REF!+#REF!+#REF!+#REF!+#REF!+#REF!+#REF!+#REF!</f>
        <v>#REF!</v>
      </c>
      <c r="D572" s="5">
        <v>2018</v>
      </c>
      <c r="E572" s="21">
        <f t="shared" si="19"/>
        <v>0</v>
      </c>
      <c r="F572" s="21">
        <v>0</v>
      </c>
      <c r="G572" s="21">
        <v>0</v>
      </c>
      <c r="H572" s="21">
        <v>0</v>
      </c>
      <c r="I572" s="21">
        <v>0</v>
      </c>
      <c r="J572" s="21">
        <v>0</v>
      </c>
      <c r="K572" s="267" t="s">
        <v>155</v>
      </c>
      <c r="L572" s="260" t="s">
        <v>12</v>
      </c>
    </row>
    <row r="573" spans="1:12" ht="21.95" customHeight="1" x14ac:dyDescent="0.25">
      <c r="A573" s="343"/>
      <c r="B573" s="271"/>
      <c r="C573" s="265"/>
      <c r="D573" s="4">
        <v>2019</v>
      </c>
      <c r="E573" s="19">
        <f t="shared" si="19"/>
        <v>9990.3000000000011</v>
      </c>
      <c r="F573" s="19">
        <v>0</v>
      </c>
      <c r="G573" s="19">
        <v>9490.7000000000007</v>
      </c>
      <c r="H573" s="19">
        <v>499.6</v>
      </c>
      <c r="I573" s="19">
        <v>499.6</v>
      </c>
      <c r="J573" s="19">
        <v>0</v>
      </c>
      <c r="K573" s="268"/>
      <c r="L573" s="261"/>
    </row>
    <row r="574" spans="1:12" ht="21.95" customHeight="1" x14ac:dyDescent="0.25">
      <c r="A574" s="343"/>
      <c r="B574" s="271"/>
      <c r="C574" s="265"/>
      <c r="D574" s="214">
        <v>2020</v>
      </c>
      <c r="E574" s="19">
        <f t="shared" si="19"/>
        <v>10735.5</v>
      </c>
      <c r="F574" s="23">
        <v>0</v>
      </c>
      <c r="G574" s="19">
        <v>10198.700000000001</v>
      </c>
      <c r="H574" s="19">
        <v>536.79999999999995</v>
      </c>
      <c r="I574" s="19">
        <v>536.79999999999995</v>
      </c>
      <c r="J574" s="19">
        <v>0</v>
      </c>
      <c r="K574" s="268"/>
      <c r="L574" s="261"/>
    </row>
    <row r="575" spans="1:12" ht="21.95" customHeight="1" x14ac:dyDescent="0.25">
      <c r="A575" s="343"/>
      <c r="B575" s="271"/>
      <c r="C575" s="265"/>
      <c r="D575" s="214">
        <v>2021</v>
      </c>
      <c r="E575" s="19">
        <f t="shared" si="19"/>
        <v>0</v>
      </c>
      <c r="F575" s="23">
        <v>0</v>
      </c>
      <c r="G575" s="19">
        <v>0</v>
      </c>
      <c r="H575" s="19">
        <v>0</v>
      </c>
      <c r="I575" s="19">
        <v>0</v>
      </c>
      <c r="J575" s="19">
        <v>0</v>
      </c>
      <c r="K575" s="268"/>
      <c r="L575" s="261"/>
    </row>
    <row r="576" spans="1:12" ht="21.95" customHeight="1" x14ac:dyDescent="0.25">
      <c r="A576" s="343"/>
      <c r="B576" s="271"/>
      <c r="C576" s="265"/>
      <c r="D576" s="214">
        <v>2022</v>
      </c>
      <c r="E576" s="19">
        <f t="shared" si="19"/>
        <v>0</v>
      </c>
      <c r="F576" s="23">
        <v>0</v>
      </c>
      <c r="G576" s="19">
        <v>0</v>
      </c>
      <c r="H576" s="19">
        <v>0</v>
      </c>
      <c r="I576" s="19">
        <v>0</v>
      </c>
      <c r="J576" s="19">
        <v>0</v>
      </c>
      <c r="K576" s="268"/>
      <c r="L576" s="261"/>
    </row>
    <row r="577" spans="1:12" ht="21.95" customHeight="1" x14ac:dyDescent="0.25">
      <c r="A577" s="343"/>
      <c r="B577" s="271"/>
      <c r="C577" s="265"/>
      <c r="D577" s="214">
        <v>2023</v>
      </c>
      <c r="E577" s="19">
        <f t="shared" si="19"/>
        <v>0</v>
      </c>
      <c r="F577" s="23">
        <v>0</v>
      </c>
      <c r="G577" s="19">
        <v>0</v>
      </c>
      <c r="H577" s="19">
        <v>0</v>
      </c>
      <c r="I577" s="19">
        <v>0</v>
      </c>
      <c r="J577" s="19">
        <v>0</v>
      </c>
      <c r="K577" s="268"/>
      <c r="L577" s="261"/>
    </row>
    <row r="578" spans="1:12" ht="21.95" customHeight="1" x14ac:dyDescent="0.25">
      <c r="A578" s="343"/>
      <c r="B578" s="271"/>
      <c r="C578" s="265"/>
      <c r="D578" s="214">
        <v>2024</v>
      </c>
      <c r="E578" s="19">
        <f t="shared" si="19"/>
        <v>0</v>
      </c>
      <c r="F578" s="23">
        <v>0</v>
      </c>
      <c r="G578" s="19">
        <v>0</v>
      </c>
      <c r="H578" s="19">
        <v>0</v>
      </c>
      <c r="I578" s="19">
        <v>0</v>
      </c>
      <c r="J578" s="19">
        <v>0</v>
      </c>
      <c r="K578" s="268"/>
      <c r="L578" s="261"/>
    </row>
    <row r="579" spans="1:12" ht="21.95" customHeight="1" x14ac:dyDescent="0.25">
      <c r="A579" s="343"/>
      <c r="B579" s="271"/>
      <c r="C579" s="265"/>
      <c r="D579" s="214">
        <v>2025</v>
      </c>
      <c r="E579" s="19">
        <f t="shared" si="19"/>
        <v>0</v>
      </c>
      <c r="F579" s="23">
        <v>0</v>
      </c>
      <c r="G579" s="19">
        <v>0</v>
      </c>
      <c r="H579" s="19">
        <v>0</v>
      </c>
      <c r="I579" s="19">
        <v>0</v>
      </c>
      <c r="J579" s="19">
        <v>0</v>
      </c>
      <c r="K579" s="268"/>
      <c r="L579" s="261"/>
    </row>
    <row r="580" spans="1:12" ht="21.95" customHeight="1" thickBot="1" x14ac:dyDescent="0.3">
      <c r="A580" s="344"/>
      <c r="B580" s="272"/>
      <c r="C580" s="226"/>
      <c r="D580" s="118">
        <v>2026</v>
      </c>
      <c r="E580" s="22">
        <f t="shared" si="19"/>
        <v>0</v>
      </c>
      <c r="F580" s="24">
        <v>0</v>
      </c>
      <c r="G580" s="22">
        <v>0</v>
      </c>
      <c r="H580" s="22">
        <v>0</v>
      </c>
      <c r="I580" s="22">
        <v>0</v>
      </c>
      <c r="J580" s="22">
        <v>0</v>
      </c>
      <c r="K580" s="269"/>
      <c r="L580" s="262"/>
    </row>
    <row r="581" spans="1:12" ht="17.25" thickBot="1" x14ac:dyDescent="0.3">
      <c r="A581" s="40">
        <v>1</v>
      </c>
      <c r="B581" s="40">
        <v>2</v>
      </c>
      <c r="C581" s="40"/>
      <c r="D581" s="40">
        <v>3</v>
      </c>
      <c r="E581" s="40">
        <v>4</v>
      </c>
      <c r="F581" s="40">
        <v>5</v>
      </c>
      <c r="G581" s="40">
        <v>6</v>
      </c>
      <c r="H581" s="40">
        <v>7</v>
      </c>
      <c r="I581" s="40">
        <v>8</v>
      </c>
      <c r="J581" s="40">
        <v>9</v>
      </c>
      <c r="K581" s="78">
        <v>10</v>
      </c>
      <c r="L581" s="78">
        <v>11</v>
      </c>
    </row>
    <row r="582" spans="1:12" ht="16.5" x14ac:dyDescent="0.25">
      <c r="A582" s="361" t="s">
        <v>156</v>
      </c>
      <c r="B582" s="270" t="s">
        <v>157</v>
      </c>
      <c r="C582" s="266" t="e">
        <f>#REF!+#REF!+#REF!+#REF!+#REF!+#REF!+#REF!+#REF!</f>
        <v>#REF!</v>
      </c>
      <c r="D582" s="5">
        <v>2018</v>
      </c>
      <c r="E582" s="21">
        <f t="shared" si="19"/>
        <v>0</v>
      </c>
      <c r="F582" s="21">
        <v>0</v>
      </c>
      <c r="G582" s="21">
        <v>0</v>
      </c>
      <c r="H582" s="21">
        <v>0</v>
      </c>
      <c r="I582" s="21">
        <v>0</v>
      </c>
      <c r="J582" s="21">
        <v>0</v>
      </c>
      <c r="K582" s="267" t="s">
        <v>159</v>
      </c>
      <c r="L582" s="260" t="s">
        <v>38</v>
      </c>
    </row>
    <row r="583" spans="1:12" ht="16.5" x14ac:dyDescent="0.25">
      <c r="A583" s="362"/>
      <c r="B583" s="271"/>
      <c r="C583" s="265"/>
      <c r="D583" s="4">
        <v>2019</v>
      </c>
      <c r="E583" s="19">
        <f t="shared" si="19"/>
        <v>557.79999999999995</v>
      </c>
      <c r="F583" s="19">
        <v>0</v>
      </c>
      <c r="G583" s="19">
        <v>0</v>
      </c>
      <c r="H583" s="19">
        <v>557.79999999999995</v>
      </c>
      <c r="I583" s="19">
        <v>0</v>
      </c>
      <c r="J583" s="19">
        <v>0</v>
      </c>
      <c r="K583" s="268"/>
      <c r="L583" s="261"/>
    </row>
    <row r="584" spans="1:12" ht="16.5" x14ac:dyDescent="0.25">
      <c r="A584" s="362"/>
      <c r="B584" s="271"/>
      <c r="C584" s="265"/>
      <c r="D584" s="214">
        <v>2020</v>
      </c>
      <c r="E584" s="19">
        <f t="shared" si="19"/>
        <v>296.10000000000002</v>
      </c>
      <c r="F584" s="23">
        <v>0</v>
      </c>
      <c r="G584" s="19">
        <v>0</v>
      </c>
      <c r="H584" s="19">
        <v>296.10000000000002</v>
      </c>
      <c r="I584" s="19">
        <v>0</v>
      </c>
      <c r="J584" s="19">
        <v>0</v>
      </c>
      <c r="K584" s="268"/>
      <c r="L584" s="261"/>
    </row>
    <row r="585" spans="1:12" ht="16.5" x14ac:dyDescent="0.25">
      <c r="A585" s="362"/>
      <c r="B585" s="271"/>
      <c r="C585" s="265"/>
      <c r="D585" s="214">
        <v>2021</v>
      </c>
      <c r="E585" s="19">
        <f t="shared" si="19"/>
        <v>0</v>
      </c>
      <c r="F585" s="23">
        <v>0</v>
      </c>
      <c r="G585" s="19">
        <v>0</v>
      </c>
      <c r="H585" s="19">
        <v>0</v>
      </c>
      <c r="I585" s="19">
        <v>0</v>
      </c>
      <c r="J585" s="19">
        <v>0</v>
      </c>
      <c r="K585" s="268"/>
      <c r="L585" s="261"/>
    </row>
    <row r="586" spans="1:12" ht="16.5" x14ac:dyDescent="0.25">
      <c r="A586" s="362"/>
      <c r="B586" s="271"/>
      <c r="C586" s="265"/>
      <c r="D586" s="214">
        <v>2022</v>
      </c>
      <c r="E586" s="19">
        <f t="shared" si="19"/>
        <v>0</v>
      </c>
      <c r="F586" s="23">
        <v>0</v>
      </c>
      <c r="G586" s="19">
        <v>0</v>
      </c>
      <c r="H586" s="19">
        <v>0</v>
      </c>
      <c r="I586" s="19">
        <v>0</v>
      </c>
      <c r="J586" s="19">
        <v>0</v>
      </c>
      <c r="K586" s="268"/>
      <c r="L586" s="261"/>
    </row>
    <row r="587" spans="1:12" ht="16.5" x14ac:dyDescent="0.25">
      <c r="A587" s="362"/>
      <c r="B587" s="271"/>
      <c r="C587" s="265"/>
      <c r="D587" s="214">
        <v>2023</v>
      </c>
      <c r="E587" s="19">
        <f t="shared" si="19"/>
        <v>0</v>
      </c>
      <c r="F587" s="23">
        <v>0</v>
      </c>
      <c r="G587" s="19">
        <v>0</v>
      </c>
      <c r="H587" s="19">
        <v>0</v>
      </c>
      <c r="I587" s="19">
        <v>0</v>
      </c>
      <c r="J587" s="19">
        <v>0</v>
      </c>
      <c r="K587" s="268"/>
      <c r="L587" s="261"/>
    </row>
    <row r="588" spans="1:12" ht="16.5" x14ac:dyDescent="0.25">
      <c r="A588" s="362"/>
      <c r="B588" s="271"/>
      <c r="C588" s="265"/>
      <c r="D588" s="214">
        <v>2024</v>
      </c>
      <c r="E588" s="19">
        <f t="shared" si="19"/>
        <v>0</v>
      </c>
      <c r="F588" s="23">
        <v>0</v>
      </c>
      <c r="G588" s="19">
        <v>0</v>
      </c>
      <c r="H588" s="19">
        <v>0</v>
      </c>
      <c r="I588" s="19">
        <v>0</v>
      </c>
      <c r="J588" s="19">
        <v>0</v>
      </c>
      <c r="K588" s="268"/>
      <c r="L588" s="261"/>
    </row>
    <row r="589" spans="1:12" ht="16.5" x14ac:dyDescent="0.25">
      <c r="A589" s="362"/>
      <c r="B589" s="271"/>
      <c r="C589" s="265"/>
      <c r="D589" s="214">
        <v>2025</v>
      </c>
      <c r="E589" s="19">
        <f t="shared" si="19"/>
        <v>0</v>
      </c>
      <c r="F589" s="23">
        <v>0</v>
      </c>
      <c r="G589" s="19">
        <v>0</v>
      </c>
      <c r="H589" s="19">
        <v>0</v>
      </c>
      <c r="I589" s="19">
        <v>0</v>
      </c>
      <c r="J589" s="19">
        <v>0</v>
      </c>
      <c r="K589" s="268"/>
      <c r="L589" s="261"/>
    </row>
    <row r="590" spans="1:12" ht="16.5" x14ac:dyDescent="0.25">
      <c r="A590" s="362"/>
      <c r="B590" s="271"/>
      <c r="C590" s="211"/>
      <c r="D590" s="103">
        <v>2026</v>
      </c>
      <c r="E590" s="19">
        <f t="shared" si="19"/>
        <v>0</v>
      </c>
      <c r="F590" s="23">
        <v>0</v>
      </c>
      <c r="G590" s="19">
        <v>0</v>
      </c>
      <c r="H590" s="19">
        <v>0</v>
      </c>
      <c r="I590" s="19">
        <v>0</v>
      </c>
      <c r="J590" s="19">
        <v>0</v>
      </c>
      <c r="K590" s="268"/>
      <c r="L590" s="261"/>
    </row>
    <row r="591" spans="1:12" ht="16.5" customHeight="1" x14ac:dyDescent="0.25">
      <c r="A591" s="362"/>
      <c r="B591" s="407" t="s">
        <v>158</v>
      </c>
      <c r="C591" s="265" t="e">
        <f>#REF!+#REF!+#REF!+#REF!+#REF!+#REF!+#REF!+#REF!</f>
        <v>#REF!</v>
      </c>
      <c r="D591" s="4">
        <v>2018</v>
      </c>
      <c r="E591" s="19">
        <f t="shared" si="19"/>
        <v>0</v>
      </c>
      <c r="F591" s="19">
        <v>0</v>
      </c>
      <c r="G591" s="19">
        <v>0</v>
      </c>
      <c r="H591" s="19">
        <v>0</v>
      </c>
      <c r="I591" s="19">
        <v>0</v>
      </c>
      <c r="J591" s="19">
        <v>0</v>
      </c>
      <c r="K591" s="268" t="s">
        <v>312</v>
      </c>
      <c r="L591" s="261" t="s">
        <v>160</v>
      </c>
    </row>
    <row r="592" spans="1:12" ht="16.5" x14ac:dyDescent="0.25">
      <c r="A592" s="362"/>
      <c r="B592" s="408"/>
      <c r="C592" s="265"/>
      <c r="D592" s="4">
        <v>2019</v>
      </c>
      <c r="E592" s="19">
        <f t="shared" si="19"/>
        <v>0</v>
      </c>
      <c r="F592" s="19">
        <v>0</v>
      </c>
      <c r="G592" s="19">
        <v>0</v>
      </c>
      <c r="H592" s="19">
        <v>0</v>
      </c>
      <c r="I592" s="19">
        <v>0</v>
      </c>
      <c r="J592" s="19">
        <v>0</v>
      </c>
      <c r="K592" s="268"/>
      <c r="L592" s="261"/>
    </row>
    <row r="593" spans="1:12" ht="16.5" x14ac:dyDescent="0.25">
      <c r="A593" s="362"/>
      <c r="B593" s="408"/>
      <c r="C593" s="265"/>
      <c r="D593" s="214">
        <v>2020</v>
      </c>
      <c r="E593" s="19">
        <f t="shared" si="19"/>
        <v>768.5</v>
      </c>
      <c r="F593" s="23">
        <v>0</v>
      </c>
      <c r="G593" s="19">
        <v>0</v>
      </c>
      <c r="H593" s="19">
        <v>768.5</v>
      </c>
      <c r="I593" s="19">
        <v>0</v>
      </c>
      <c r="J593" s="19">
        <v>0</v>
      </c>
      <c r="K593" s="268"/>
      <c r="L593" s="261"/>
    </row>
    <row r="594" spans="1:12" ht="16.5" x14ac:dyDescent="0.25">
      <c r="A594" s="362"/>
      <c r="B594" s="408"/>
      <c r="C594" s="265"/>
      <c r="D594" s="214">
        <v>2021</v>
      </c>
      <c r="E594" s="19">
        <f t="shared" si="19"/>
        <v>0</v>
      </c>
      <c r="F594" s="23">
        <v>0</v>
      </c>
      <c r="G594" s="19">
        <v>0</v>
      </c>
      <c r="H594" s="19">
        <v>0</v>
      </c>
      <c r="I594" s="19">
        <v>0</v>
      </c>
      <c r="J594" s="19">
        <v>0</v>
      </c>
      <c r="K594" s="268"/>
      <c r="L594" s="261"/>
    </row>
    <row r="595" spans="1:12" ht="16.5" x14ac:dyDescent="0.25">
      <c r="A595" s="362"/>
      <c r="B595" s="408"/>
      <c r="C595" s="265"/>
      <c r="D595" s="214">
        <v>2022</v>
      </c>
      <c r="E595" s="19">
        <f t="shared" si="19"/>
        <v>0</v>
      </c>
      <c r="F595" s="23">
        <v>0</v>
      </c>
      <c r="G595" s="19">
        <v>0</v>
      </c>
      <c r="H595" s="19">
        <v>0</v>
      </c>
      <c r="I595" s="19">
        <v>0</v>
      </c>
      <c r="J595" s="19">
        <v>0</v>
      </c>
      <c r="K595" s="268"/>
      <c r="L595" s="261"/>
    </row>
    <row r="596" spans="1:12" ht="16.5" x14ac:dyDescent="0.25">
      <c r="A596" s="362"/>
      <c r="B596" s="408"/>
      <c r="C596" s="265"/>
      <c r="D596" s="214">
        <v>2023</v>
      </c>
      <c r="E596" s="19">
        <f t="shared" si="19"/>
        <v>0</v>
      </c>
      <c r="F596" s="23">
        <v>0</v>
      </c>
      <c r="G596" s="19">
        <v>0</v>
      </c>
      <c r="H596" s="19">
        <v>0</v>
      </c>
      <c r="I596" s="19">
        <v>0</v>
      </c>
      <c r="J596" s="19">
        <v>0</v>
      </c>
      <c r="K596" s="268"/>
      <c r="L596" s="261"/>
    </row>
    <row r="597" spans="1:12" ht="16.5" x14ac:dyDescent="0.25">
      <c r="A597" s="362"/>
      <c r="B597" s="408"/>
      <c r="C597" s="265"/>
      <c r="D597" s="214">
        <v>2024</v>
      </c>
      <c r="E597" s="19">
        <f t="shared" si="19"/>
        <v>0</v>
      </c>
      <c r="F597" s="23">
        <v>0</v>
      </c>
      <c r="G597" s="19">
        <v>0</v>
      </c>
      <c r="H597" s="19">
        <v>0</v>
      </c>
      <c r="I597" s="19">
        <v>0</v>
      </c>
      <c r="J597" s="19">
        <v>0</v>
      </c>
      <c r="K597" s="268"/>
      <c r="L597" s="261"/>
    </row>
    <row r="598" spans="1:12" ht="16.5" x14ac:dyDescent="0.25">
      <c r="A598" s="362"/>
      <c r="B598" s="408"/>
      <c r="C598" s="265"/>
      <c r="D598" s="214">
        <v>2025</v>
      </c>
      <c r="E598" s="19">
        <f t="shared" si="19"/>
        <v>0</v>
      </c>
      <c r="F598" s="23">
        <v>0</v>
      </c>
      <c r="G598" s="19">
        <v>0</v>
      </c>
      <c r="H598" s="19">
        <v>0</v>
      </c>
      <c r="I598" s="19">
        <v>0</v>
      </c>
      <c r="J598" s="19">
        <v>0</v>
      </c>
      <c r="K598" s="268"/>
      <c r="L598" s="261"/>
    </row>
    <row r="599" spans="1:12" ht="17.25" thickBot="1" x14ac:dyDescent="0.3">
      <c r="A599" s="363"/>
      <c r="B599" s="409"/>
      <c r="C599" s="226"/>
      <c r="D599" s="118">
        <v>2026</v>
      </c>
      <c r="E599" s="22">
        <f t="shared" si="19"/>
        <v>0</v>
      </c>
      <c r="F599" s="24">
        <v>0</v>
      </c>
      <c r="G599" s="22">
        <v>0</v>
      </c>
      <c r="H599" s="22">
        <v>0</v>
      </c>
      <c r="I599" s="22">
        <v>0</v>
      </c>
      <c r="J599" s="22">
        <v>0</v>
      </c>
      <c r="K599" s="269"/>
      <c r="L599" s="262"/>
    </row>
    <row r="600" spans="1:12" ht="17.25" thickBot="1" x14ac:dyDescent="0.3">
      <c r="A600" s="40">
        <v>1</v>
      </c>
      <c r="B600" s="40">
        <v>2</v>
      </c>
      <c r="C600" s="40"/>
      <c r="D600" s="40">
        <v>3</v>
      </c>
      <c r="E600" s="40">
        <v>4</v>
      </c>
      <c r="F600" s="40">
        <v>5</v>
      </c>
      <c r="G600" s="40">
        <v>6</v>
      </c>
      <c r="H600" s="40">
        <v>7</v>
      </c>
      <c r="I600" s="40">
        <v>8</v>
      </c>
      <c r="J600" s="40">
        <v>9</v>
      </c>
      <c r="K600" s="78">
        <v>10</v>
      </c>
      <c r="L600" s="78">
        <v>11</v>
      </c>
    </row>
    <row r="601" spans="1:12" ht="16.5" x14ac:dyDescent="0.25">
      <c r="A601" s="342" t="s">
        <v>218</v>
      </c>
      <c r="B601" s="270" t="s">
        <v>161</v>
      </c>
      <c r="C601" s="266" t="e">
        <f>#REF!+#REF!+#REF!+#REF!+#REF!+#REF!+#REF!+#REF!</f>
        <v>#REF!</v>
      </c>
      <c r="D601" s="5">
        <v>2018</v>
      </c>
      <c r="E601" s="21">
        <f t="shared" si="19"/>
        <v>0</v>
      </c>
      <c r="F601" s="21">
        <v>0</v>
      </c>
      <c r="G601" s="21">
        <v>0</v>
      </c>
      <c r="H601" s="21">
        <v>0</v>
      </c>
      <c r="I601" s="21">
        <v>0</v>
      </c>
      <c r="J601" s="21">
        <v>0</v>
      </c>
      <c r="K601" s="267" t="s">
        <v>162</v>
      </c>
      <c r="L601" s="260" t="s">
        <v>163</v>
      </c>
    </row>
    <row r="602" spans="1:12" ht="16.5" x14ac:dyDescent="0.25">
      <c r="A602" s="343"/>
      <c r="B602" s="271"/>
      <c r="C602" s="265"/>
      <c r="D602" s="4">
        <v>2019</v>
      </c>
      <c r="E602" s="19">
        <f t="shared" si="19"/>
        <v>0</v>
      </c>
      <c r="F602" s="19">
        <v>0</v>
      </c>
      <c r="G602" s="19">
        <v>0</v>
      </c>
      <c r="H602" s="19">
        <v>0</v>
      </c>
      <c r="I602" s="19">
        <v>0</v>
      </c>
      <c r="J602" s="19">
        <v>0</v>
      </c>
      <c r="K602" s="268"/>
      <c r="L602" s="261"/>
    </row>
    <row r="603" spans="1:12" ht="16.5" x14ac:dyDescent="0.25">
      <c r="A603" s="343"/>
      <c r="B603" s="271"/>
      <c r="C603" s="265"/>
      <c r="D603" s="214">
        <v>2020</v>
      </c>
      <c r="E603" s="19">
        <f t="shared" si="19"/>
        <v>0</v>
      </c>
      <c r="F603" s="23">
        <v>0</v>
      </c>
      <c r="G603" s="19">
        <v>0</v>
      </c>
      <c r="H603" s="19">
        <v>0</v>
      </c>
      <c r="I603" s="19">
        <v>0</v>
      </c>
      <c r="J603" s="19">
        <v>0</v>
      </c>
      <c r="K603" s="268"/>
      <c r="L603" s="261"/>
    </row>
    <row r="604" spans="1:12" ht="16.5" x14ac:dyDescent="0.25">
      <c r="A604" s="343"/>
      <c r="B604" s="271"/>
      <c r="C604" s="265"/>
      <c r="D604" s="214">
        <v>2021</v>
      </c>
      <c r="E604" s="19">
        <f t="shared" si="19"/>
        <v>0</v>
      </c>
      <c r="F604" s="23">
        <v>0</v>
      </c>
      <c r="G604" s="19">
        <v>0</v>
      </c>
      <c r="H604" s="19">
        <v>0</v>
      </c>
      <c r="I604" s="19">
        <v>0</v>
      </c>
      <c r="J604" s="19">
        <v>0</v>
      </c>
      <c r="K604" s="268"/>
      <c r="L604" s="261"/>
    </row>
    <row r="605" spans="1:12" ht="16.5" x14ac:dyDescent="0.25">
      <c r="A605" s="343"/>
      <c r="B605" s="271"/>
      <c r="C605" s="265"/>
      <c r="D605" s="214">
        <v>2022</v>
      </c>
      <c r="E605" s="19">
        <f t="shared" si="19"/>
        <v>0</v>
      </c>
      <c r="F605" s="23">
        <v>0</v>
      </c>
      <c r="G605" s="19">
        <v>0</v>
      </c>
      <c r="H605" s="19">
        <v>0</v>
      </c>
      <c r="I605" s="19">
        <v>0</v>
      </c>
      <c r="J605" s="19">
        <v>0</v>
      </c>
      <c r="K605" s="268"/>
      <c r="L605" s="261"/>
    </row>
    <row r="606" spans="1:12" ht="16.5" x14ac:dyDescent="0.25">
      <c r="A606" s="343"/>
      <c r="B606" s="271"/>
      <c r="C606" s="265"/>
      <c r="D606" s="214">
        <v>2023</v>
      </c>
      <c r="E606" s="19">
        <f t="shared" si="19"/>
        <v>0</v>
      </c>
      <c r="F606" s="23">
        <v>0</v>
      </c>
      <c r="G606" s="19">
        <v>0</v>
      </c>
      <c r="H606" s="19">
        <v>0</v>
      </c>
      <c r="I606" s="19">
        <v>0</v>
      </c>
      <c r="J606" s="19">
        <v>0</v>
      </c>
      <c r="K606" s="268"/>
      <c r="L606" s="261"/>
    </row>
    <row r="607" spans="1:12" ht="16.5" x14ac:dyDescent="0.25">
      <c r="A607" s="343"/>
      <c r="B607" s="271"/>
      <c r="C607" s="265"/>
      <c r="D607" s="214">
        <v>2024</v>
      </c>
      <c r="E607" s="19">
        <f t="shared" si="19"/>
        <v>0</v>
      </c>
      <c r="F607" s="23">
        <v>0</v>
      </c>
      <c r="G607" s="19">
        <v>0</v>
      </c>
      <c r="H607" s="19">
        <v>0</v>
      </c>
      <c r="I607" s="19">
        <v>0</v>
      </c>
      <c r="J607" s="19">
        <v>0</v>
      </c>
      <c r="K607" s="268"/>
      <c r="L607" s="261"/>
    </row>
    <row r="608" spans="1:12" ht="16.5" x14ac:dyDescent="0.25">
      <c r="A608" s="343"/>
      <c r="B608" s="271"/>
      <c r="C608" s="265"/>
      <c r="D608" s="214">
        <v>2025</v>
      </c>
      <c r="E608" s="19">
        <f t="shared" si="19"/>
        <v>0</v>
      </c>
      <c r="F608" s="23">
        <v>0</v>
      </c>
      <c r="G608" s="19">
        <v>0</v>
      </c>
      <c r="H608" s="19">
        <v>0</v>
      </c>
      <c r="I608" s="19">
        <v>0</v>
      </c>
      <c r="J608" s="19">
        <v>0</v>
      </c>
      <c r="K608" s="268"/>
      <c r="L608" s="261"/>
    </row>
    <row r="609" spans="1:12" ht="17.25" thickBot="1" x14ac:dyDescent="0.3">
      <c r="A609" s="344"/>
      <c r="B609" s="272"/>
      <c r="C609" s="226"/>
      <c r="D609" s="118">
        <v>2026</v>
      </c>
      <c r="E609" s="22">
        <f t="shared" si="19"/>
        <v>0</v>
      </c>
      <c r="F609" s="24">
        <v>0</v>
      </c>
      <c r="G609" s="22">
        <v>0</v>
      </c>
      <c r="H609" s="22">
        <v>0</v>
      </c>
      <c r="I609" s="22">
        <v>0</v>
      </c>
      <c r="J609" s="22">
        <v>0</v>
      </c>
      <c r="K609" s="269"/>
      <c r="L609" s="262"/>
    </row>
    <row r="610" spans="1:12" ht="16.5" x14ac:dyDescent="0.25">
      <c r="A610" s="342" t="s">
        <v>164</v>
      </c>
      <c r="B610" s="270" t="s">
        <v>165</v>
      </c>
      <c r="C610" s="266" t="e">
        <f>#REF!+#REF!+#REF!+#REF!+#REF!+#REF!+#REF!+#REF!</f>
        <v>#REF!</v>
      </c>
      <c r="D610" s="5">
        <v>2018</v>
      </c>
      <c r="E610" s="21">
        <f t="shared" si="19"/>
        <v>0</v>
      </c>
      <c r="F610" s="21">
        <v>0</v>
      </c>
      <c r="G610" s="21">
        <v>0</v>
      </c>
      <c r="H610" s="21">
        <v>0</v>
      </c>
      <c r="I610" s="21">
        <v>0</v>
      </c>
      <c r="J610" s="21">
        <v>0</v>
      </c>
      <c r="K610" s="267" t="s">
        <v>201</v>
      </c>
      <c r="L610" s="260" t="s">
        <v>12</v>
      </c>
    </row>
    <row r="611" spans="1:12" ht="16.5" x14ac:dyDescent="0.25">
      <c r="A611" s="343"/>
      <c r="B611" s="271"/>
      <c r="C611" s="265"/>
      <c r="D611" s="4">
        <v>2019</v>
      </c>
      <c r="E611" s="19">
        <f t="shared" si="19"/>
        <v>0</v>
      </c>
      <c r="F611" s="19">
        <v>0</v>
      </c>
      <c r="G611" s="19">
        <v>0</v>
      </c>
      <c r="H611" s="19">
        <v>0</v>
      </c>
      <c r="I611" s="19">
        <v>0</v>
      </c>
      <c r="J611" s="19">
        <v>0</v>
      </c>
      <c r="K611" s="268"/>
      <c r="L611" s="261"/>
    </row>
    <row r="612" spans="1:12" ht="16.5" x14ac:dyDescent="0.25">
      <c r="A612" s="343"/>
      <c r="B612" s="271"/>
      <c r="C612" s="265"/>
      <c r="D612" s="214">
        <v>2020</v>
      </c>
      <c r="E612" s="19">
        <f t="shared" si="19"/>
        <v>30040.7</v>
      </c>
      <c r="F612" s="23">
        <v>0</v>
      </c>
      <c r="G612" s="19">
        <v>27996</v>
      </c>
      <c r="H612" s="19">
        <v>2044.7</v>
      </c>
      <c r="I612" s="19">
        <v>1473.5</v>
      </c>
      <c r="J612" s="19">
        <v>0</v>
      </c>
      <c r="K612" s="268"/>
      <c r="L612" s="261"/>
    </row>
    <row r="613" spans="1:12" ht="16.5" x14ac:dyDescent="0.25">
      <c r="A613" s="343"/>
      <c r="B613" s="271"/>
      <c r="C613" s="265"/>
      <c r="D613" s="214">
        <v>2021</v>
      </c>
      <c r="E613" s="19">
        <f t="shared" si="19"/>
        <v>78410.8</v>
      </c>
      <c r="F613" s="23">
        <v>0</v>
      </c>
      <c r="G613" s="19">
        <v>72377.600000000006</v>
      </c>
      <c r="H613" s="19">
        <v>6033.2</v>
      </c>
      <c r="I613" s="19">
        <v>3809.4</v>
      </c>
      <c r="J613" s="19">
        <v>0</v>
      </c>
      <c r="K613" s="268"/>
      <c r="L613" s="261"/>
    </row>
    <row r="614" spans="1:12" ht="16.5" x14ac:dyDescent="0.25">
      <c r="A614" s="343"/>
      <c r="B614" s="271"/>
      <c r="C614" s="265"/>
      <c r="D614" s="214">
        <v>2022</v>
      </c>
      <c r="E614" s="19">
        <f t="shared" si="19"/>
        <v>65579.8</v>
      </c>
      <c r="F614" s="23">
        <v>0</v>
      </c>
      <c r="G614" s="19">
        <v>62300.800000000003</v>
      </c>
      <c r="H614" s="19">
        <f>3279.1-0.1</f>
        <v>3279</v>
      </c>
      <c r="I614" s="39">
        <v>3279</v>
      </c>
      <c r="J614" s="19">
        <v>0</v>
      </c>
      <c r="K614" s="268"/>
      <c r="L614" s="261"/>
    </row>
    <row r="615" spans="1:12" ht="16.5" x14ac:dyDescent="0.25">
      <c r="A615" s="343"/>
      <c r="B615" s="271"/>
      <c r="C615" s="265"/>
      <c r="D615" s="214">
        <v>2023</v>
      </c>
      <c r="E615" s="19">
        <f t="shared" si="19"/>
        <v>68998.5</v>
      </c>
      <c r="F615" s="23">
        <v>0</v>
      </c>
      <c r="G615" s="19">
        <f>61465.1+4083.4</f>
        <v>65548.5</v>
      </c>
      <c r="H615" s="19">
        <f>I615</f>
        <v>3450</v>
      </c>
      <c r="I615" s="19">
        <f>3235.1+214.9</f>
        <v>3450</v>
      </c>
      <c r="J615" s="19">
        <v>0</v>
      </c>
      <c r="K615" s="268"/>
      <c r="L615" s="261"/>
    </row>
    <row r="616" spans="1:12" ht="16.5" x14ac:dyDescent="0.25">
      <c r="A616" s="343"/>
      <c r="B616" s="271"/>
      <c r="C616" s="265"/>
      <c r="D616" s="214">
        <v>2024</v>
      </c>
      <c r="E616" s="19">
        <f t="shared" si="19"/>
        <v>80245.400000000009</v>
      </c>
      <c r="F616" s="23">
        <v>0</v>
      </c>
      <c r="G616" s="138">
        <f>76233.1</f>
        <v>76233.100000000006</v>
      </c>
      <c r="H616" s="178">
        <f>I616</f>
        <v>4012.3</v>
      </c>
      <c r="I616" s="138">
        <f>4012.3</f>
        <v>4012.3</v>
      </c>
      <c r="J616" s="19">
        <v>0</v>
      </c>
      <c r="K616" s="268"/>
      <c r="L616" s="261"/>
    </row>
    <row r="617" spans="1:12" ht="16.5" x14ac:dyDescent="0.25">
      <c r="A617" s="343"/>
      <c r="B617" s="271"/>
      <c r="C617" s="265"/>
      <c r="D617" s="214">
        <v>2025</v>
      </c>
      <c r="E617" s="19">
        <f>F617+G617+H617+J617</f>
        <v>87941.6</v>
      </c>
      <c r="F617" s="23">
        <v>0</v>
      </c>
      <c r="G617" s="138">
        <v>83544.5</v>
      </c>
      <c r="H617" s="138">
        <f>I617</f>
        <v>4397.1000000000004</v>
      </c>
      <c r="I617" s="138">
        <f>4397.1</f>
        <v>4397.1000000000004</v>
      </c>
      <c r="J617" s="19">
        <v>0</v>
      </c>
      <c r="K617" s="268"/>
      <c r="L617" s="261"/>
    </row>
    <row r="618" spans="1:12" ht="17.25" thickBot="1" x14ac:dyDescent="0.3">
      <c r="A618" s="344"/>
      <c r="B618" s="272"/>
      <c r="C618" s="226"/>
      <c r="D618" s="118">
        <v>2026</v>
      </c>
      <c r="E618" s="22">
        <f>F618+G618+H618+J618</f>
        <v>91185.400000000009</v>
      </c>
      <c r="F618" s="24">
        <v>0</v>
      </c>
      <c r="G618" s="139">
        <v>86626.1</v>
      </c>
      <c r="H618" s="139">
        <f>I618</f>
        <v>4559.3</v>
      </c>
      <c r="I618" s="139">
        <f>4559.3</f>
        <v>4559.3</v>
      </c>
      <c r="J618" s="22">
        <v>0</v>
      </c>
      <c r="K618" s="269"/>
      <c r="L618" s="262"/>
    </row>
    <row r="619" spans="1:12" ht="16.5" x14ac:dyDescent="0.25">
      <c r="A619" s="342" t="s">
        <v>166</v>
      </c>
      <c r="B619" s="270" t="s">
        <v>167</v>
      </c>
      <c r="C619" s="266" t="e">
        <f>#REF!+#REF!+#REF!+#REF!+#REF!+#REF!+#REF!+#REF!</f>
        <v>#REF!</v>
      </c>
      <c r="D619" s="5">
        <v>2018</v>
      </c>
      <c r="E619" s="21">
        <f t="shared" si="19"/>
        <v>0</v>
      </c>
      <c r="F619" s="21">
        <v>0</v>
      </c>
      <c r="G619" s="21">
        <v>0</v>
      </c>
      <c r="H619" s="21">
        <v>0</v>
      </c>
      <c r="I619" s="21">
        <v>0</v>
      </c>
      <c r="J619" s="21">
        <v>0</v>
      </c>
      <c r="K619" s="267" t="s">
        <v>168</v>
      </c>
      <c r="L619" s="260" t="s">
        <v>12</v>
      </c>
    </row>
    <row r="620" spans="1:12" ht="16.5" x14ac:dyDescent="0.25">
      <c r="A620" s="343"/>
      <c r="B620" s="271"/>
      <c r="C620" s="265"/>
      <c r="D620" s="4">
        <v>2019</v>
      </c>
      <c r="E620" s="19">
        <f t="shared" ref="E620:E691" si="20">F620+G620+H620+J620</f>
        <v>0</v>
      </c>
      <c r="F620" s="19">
        <v>0</v>
      </c>
      <c r="G620" s="19">
        <v>0</v>
      </c>
      <c r="H620" s="19">
        <v>0</v>
      </c>
      <c r="I620" s="19">
        <v>0</v>
      </c>
      <c r="J620" s="19">
        <v>0</v>
      </c>
      <c r="K620" s="268"/>
      <c r="L620" s="261"/>
    </row>
    <row r="621" spans="1:12" ht="16.5" x14ac:dyDescent="0.25">
      <c r="A621" s="343"/>
      <c r="B621" s="271"/>
      <c r="C621" s="265"/>
      <c r="D621" s="214">
        <v>2020</v>
      </c>
      <c r="E621" s="19">
        <f t="shared" si="20"/>
        <v>15103.2</v>
      </c>
      <c r="F621" s="23">
        <v>15103.2</v>
      </c>
      <c r="G621" s="19">
        <v>0</v>
      </c>
      <c r="H621" s="19">
        <v>0</v>
      </c>
      <c r="I621" s="19">
        <v>0</v>
      </c>
      <c r="J621" s="19">
        <v>0</v>
      </c>
      <c r="K621" s="268"/>
      <c r="L621" s="261"/>
    </row>
    <row r="622" spans="1:12" ht="16.5" x14ac:dyDescent="0.25">
      <c r="A622" s="343"/>
      <c r="B622" s="271"/>
      <c r="C622" s="265"/>
      <c r="D622" s="214">
        <v>2021</v>
      </c>
      <c r="E622" s="19">
        <f t="shared" si="20"/>
        <v>45309.599999999999</v>
      </c>
      <c r="F622" s="23">
        <v>45309.599999999999</v>
      </c>
      <c r="G622" s="19">
        <v>0</v>
      </c>
      <c r="H622" s="19">
        <v>0</v>
      </c>
      <c r="I622" s="19">
        <v>0</v>
      </c>
      <c r="J622" s="19">
        <v>0</v>
      </c>
      <c r="K622" s="268"/>
      <c r="L622" s="261"/>
    </row>
    <row r="623" spans="1:12" ht="16.5" x14ac:dyDescent="0.25">
      <c r="A623" s="343"/>
      <c r="B623" s="271"/>
      <c r="C623" s="265"/>
      <c r="D623" s="214">
        <v>2022</v>
      </c>
      <c r="E623" s="19">
        <f t="shared" si="20"/>
        <v>45544</v>
      </c>
      <c r="F623" s="23">
        <f>41950.4+2968.6+625</f>
        <v>45544</v>
      </c>
      <c r="G623" s="19">
        <v>0</v>
      </c>
      <c r="H623" s="19">
        <v>0</v>
      </c>
      <c r="I623" s="19">
        <v>0</v>
      </c>
      <c r="J623" s="19">
        <v>0</v>
      </c>
      <c r="K623" s="268"/>
      <c r="L623" s="261"/>
    </row>
    <row r="624" spans="1:12" ht="16.5" x14ac:dyDescent="0.25">
      <c r="A624" s="343"/>
      <c r="B624" s="271"/>
      <c r="C624" s="265"/>
      <c r="D624" s="214">
        <v>2023</v>
      </c>
      <c r="E624" s="19">
        <f t="shared" si="20"/>
        <v>45856.4</v>
      </c>
      <c r="F624" s="23">
        <f>44997.1+859.3</f>
        <v>45856.4</v>
      </c>
      <c r="G624" s="19">
        <v>0</v>
      </c>
      <c r="H624" s="19">
        <v>0</v>
      </c>
      <c r="I624" s="19">
        <v>0</v>
      </c>
      <c r="J624" s="19">
        <v>0</v>
      </c>
      <c r="K624" s="268"/>
      <c r="L624" s="261"/>
    </row>
    <row r="625" spans="1:12" ht="16.5" x14ac:dyDescent="0.25">
      <c r="A625" s="343"/>
      <c r="B625" s="271"/>
      <c r="C625" s="265"/>
      <c r="D625" s="214">
        <v>2024</v>
      </c>
      <c r="E625" s="19">
        <f t="shared" si="20"/>
        <v>44919</v>
      </c>
      <c r="F625" s="23">
        <v>44919</v>
      </c>
      <c r="G625" s="19">
        <v>0</v>
      </c>
      <c r="H625" s="19">
        <v>0</v>
      </c>
      <c r="I625" s="19">
        <v>0</v>
      </c>
      <c r="J625" s="19">
        <v>0</v>
      </c>
      <c r="K625" s="268"/>
      <c r="L625" s="261"/>
    </row>
    <row r="626" spans="1:12" ht="16.5" x14ac:dyDescent="0.25">
      <c r="A626" s="343"/>
      <c r="B626" s="271"/>
      <c r="C626" s="265"/>
      <c r="D626" s="214">
        <v>2025</v>
      </c>
      <c r="E626" s="19">
        <f t="shared" si="20"/>
        <v>44919</v>
      </c>
      <c r="F626" s="23">
        <v>44919</v>
      </c>
      <c r="G626" s="19">
        <v>0</v>
      </c>
      <c r="H626" s="19">
        <v>0</v>
      </c>
      <c r="I626" s="19">
        <v>0</v>
      </c>
      <c r="J626" s="19">
        <v>0</v>
      </c>
      <c r="K626" s="268"/>
      <c r="L626" s="261"/>
    </row>
    <row r="627" spans="1:12" ht="17.25" thickBot="1" x14ac:dyDescent="0.3">
      <c r="A627" s="344"/>
      <c r="B627" s="272"/>
      <c r="C627" s="226"/>
      <c r="D627" s="118">
        <v>2026</v>
      </c>
      <c r="E627" s="22">
        <f t="shared" si="20"/>
        <v>44997.1</v>
      </c>
      <c r="F627" s="24">
        <v>44997.1</v>
      </c>
      <c r="G627" s="22">
        <v>0</v>
      </c>
      <c r="H627" s="22">
        <v>0</v>
      </c>
      <c r="I627" s="22">
        <v>0</v>
      </c>
      <c r="J627" s="22">
        <v>0</v>
      </c>
      <c r="K627" s="269"/>
      <c r="L627" s="262"/>
    </row>
    <row r="628" spans="1:12" ht="25.5" customHeight="1" x14ac:dyDescent="0.25">
      <c r="A628" s="342" t="s">
        <v>169</v>
      </c>
      <c r="B628" s="339" t="s">
        <v>170</v>
      </c>
      <c r="C628" s="266" t="e">
        <f>#REF!+#REF!+#REF!+#REF!+#REF!+#REF!+#REF!+#REF!</f>
        <v>#REF!</v>
      </c>
      <c r="D628" s="5">
        <v>2018</v>
      </c>
      <c r="E628" s="21">
        <f t="shared" si="20"/>
        <v>0</v>
      </c>
      <c r="F628" s="21">
        <v>0</v>
      </c>
      <c r="G628" s="21">
        <v>0</v>
      </c>
      <c r="H628" s="21">
        <v>0</v>
      </c>
      <c r="I628" s="21">
        <v>0</v>
      </c>
      <c r="J628" s="21">
        <v>0</v>
      </c>
      <c r="K628" s="267" t="s">
        <v>171</v>
      </c>
      <c r="L628" s="260" t="s">
        <v>12</v>
      </c>
    </row>
    <row r="629" spans="1:12" ht="25.5" customHeight="1" x14ac:dyDescent="0.25">
      <c r="A629" s="343"/>
      <c r="B629" s="340"/>
      <c r="C629" s="265"/>
      <c r="D629" s="4">
        <v>2019</v>
      </c>
      <c r="E629" s="19">
        <f t="shared" si="20"/>
        <v>0</v>
      </c>
      <c r="F629" s="19">
        <v>0</v>
      </c>
      <c r="G629" s="19">
        <v>0</v>
      </c>
      <c r="H629" s="19">
        <v>0</v>
      </c>
      <c r="I629" s="19">
        <v>0</v>
      </c>
      <c r="J629" s="19">
        <v>0</v>
      </c>
      <c r="K629" s="268"/>
      <c r="L629" s="261"/>
    </row>
    <row r="630" spans="1:12" ht="25.5" customHeight="1" x14ac:dyDescent="0.25">
      <c r="A630" s="343"/>
      <c r="B630" s="340"/>
      <c r="C630" s="265"/>
      <c r="D630" s="214">
        <v>2020</v>
      </c>
      <c r="E630" s="19">
        <f t="shared" si="20"/>
        <v>3076.5</v>
      </c>
      <c r="F630" s="23">
        <v>0</v>
      </c>
      <c r="G630" s="19">
        <v>2976.5</v>
      </c>
      <c r="H630" s="19">
        <v>100</v>
      </c>
      <c r="I630" s="19">
        <v>100</v>
      </c>
      <c r="J630" s="19">
        <v>0</v>
      </c>
      <c r="K630" s="268"/>
      <c r="L630" s="261"/>
    </row>
    <row r="631" spans="1:12" ht="25.5" customHeight="1" x14ac:dyDescent="0.25">
      <c r="A631" s="343"/>
      <c r="B631" s="340"/>
      <c r="C631" s="265"/>
      <c r="D631" s="214">
        <v>2021</v>
      </c>
      <c r="E631" s="19">
        <f t="shared" si="20"/>
        <v>0</v>
      </c>
      <c r="F631" s="23">
        <v>0</v>
      </c>
      <c r="G631" s="19">
        <v>0</v>
      </c>
      <c r="H631" s="19">
        <v>0</v>
      </c>
      <c r="I631" s="19">
        <v>0</v>
      </c>
      <c r="J631" s="19">
        <v>0</v>
      </c>
      <c r="K631" s="268"/>
      <c r="L631" s="261"/>
    </row>
    <row r="632" spans="1:12" ht="25.5" customHeight="1" x14ac:dyDescent="0.25">
      <c r="A632" s="343"/>
      <c r="B632" s="340"/>
      <c r="C632" s="265"/>
      <c r="D632" s="214">
        <v>2022</v>
      </c>
      <c r="E632" s="19">
        <f t="shared" si="20"/>
        <v>0</v>
      </c>
      <c r="F632" s="23">
        <v>0</v>
      </c>
      <c r="G632" s="19">
        <v>0</v>
      </c>
      <c r="H632" s="19">
        <v>0</v>
      </c>
      <c r="I632" s="19">
        <v>0</v>
      </c>
      <c r="J632" s="19">
        <v>0</v>
      </c>
      <c r="K632" s="268"/>
      <c r="L632" s="261"/>
    </row>
    <row r="633" spans="1:12" ht="25.5" customHeight="1" x14ac:dyDescent="0.25">
      <c r="A633" s="343"/>
      <c r="B633" s="340"/>
      <c r="C633" s="265"/>
      <c r="D633" s="214">
        <v>2023</v>
      </c>
      <c r="E633" s="19">
        <f t="shared" si="20"/>
        <v>0</v>
      </c>
      <c r="F633" s="23">
        <v>0</v>
      </c>
      <c r="G633" s="19">
        <v>0</v>
      </c>
      <c r="H633" s="19">
        <v>0</v>
      </c>
      <c r="I633" s="19">
        <v>0</v>
      </c>
      <c r="J633" s="19">
        <v>0</v>
      </c>
      <c r="K633" s="268"/>
      <c r="L633" s="261"/>
    </row>
    <row r="634" spans="1:12" ht="25.5" customHeight="1" x14ac:dyDescent="0.25">
      <c r="A634" s="343"/>
      <c r="B634" s="340"/>
      <c r="C634" s="265"/>
      <c r="D634" s="214">
        <v>2024</v>
      </c>
      <c r="E634" s="19">
        <f t="shared" si="20"/>
        <v>0</v>
      </c>
      <c r="F634" s="23">
        <v>0</v>
      </c>
      <c r="G634" s="19">
        <v>0</v>
      </c>
      <c r="H634" s="19">
        <v>0</v>
      </c>
      <c r="I634" s="19">
        <v>0</v>
      </c>
      <c r="J634" s="19">
        <v>0</v>
      </c>
      <c r="K634" s="268"/>
      <c r="L634" s="261"/>
    </row>
    <row r="635" spans="1:12" ht="25.5" customHeight="1" x14ac:dyDescent="0.25">
      <c r="A635" s="343"/>
      <c r="B635" s="340"/>
      <c r="C635" s="265"/>
      <c r="D635" s="214">
        <v>2025</v>
      </c>
      <c r="E635" s="19">
        <f t="shared" si="20"/>
        <v>0</v>
      </c>
      <c r="F635" s="23">
        <v>0</v>
      </c>
      <c r="G635" s="19">
        <v>0</v>
      </c>
      <c r="H635" s="19">
        <v>0</v>
      </c>
      <c r="I635" s="19">
        <v>0</v>
      </c>
      <c r="J635" s="19">
        <v>0</v>
      </c>
      <c r="K635" s="268"/>
      <c r="L635" s="261"/>
    </row>
    <row r="636" spans="1:12" ht="25.5" customHeight="1" thickBot="1" x14ac:dyDescent="0.3">
      <c r="A636" s="344"/>
      <c r="B636" s="341"/>
      <c r="C636" s="226"/>
      <c r="D636" s="118">
        <v>2026</v>
      </c>
      <c r="E636" s="22">
        <f t="shared" si="20"/>
        <v>0</v>
      </c>
      <c r="F636" s="24">
        <v>0</v>
      </c>
      <c r="G636" s="22">
        <v>0</v>
      </c>
      <c r="H636" s="22">
        <v>0</v>
      </c>
      <c r="I636" s="22">
        <v>0</v>
      </c>
      <c r="J636" s="22">
        <v>0</v>
      </c>
      <c r="K636" s="269"/>
      <c r="L636" s="262"/>
    </row>
    <row r="637" spans="1:12" ht="17.25" thickBot="1" x14ac:dyDescent="0.3">
      <c r="A637" s="40">
        <v>1</v>
      </c>
      <c r="B637" s="15">
        <v>2</v>
      </c>
      <c r="C637" s="15"/>
      <c r="D637" s="15">
        <v>3</v>
      </c>
      <c r="E637" s="15">
        <v>4</v>
      </c>
      <c r="F637" s="15">
        <v>5</v>
      </c>
      <c r="G637" s="15">
        <v>6</v>
      </c>
      <c r="H637" s="15">
        <v>7</v>
      </c>
      <c r="I637" s="15">
        <v>8</v>
      </c>
      <c r="J637" s="15">
        <v>9</v>
      </c>
      <c r="K637" s="134">
        <v>10</v>
      </c>
      <c r="L637" s="134">
        <v>11</v>
      </c>
    </row>
    <row r="638" spans="1:12" ht="21.6" customHeight="1" x14ac:dyDescent="0.25">
      <c r="A638" s="342" t="s">
        <v>172</v>
      </c>
      <c r="B638" s="270" t="s">
        <v>214</v>
      </c>
      <c r="C638" s="266" t="e">
        <f>#REF!+#REF!+#REF!+#REF!+#REF!+#REF!+#REF!+#REF!</f>
        <v>#REF!</v>
      </c>
      <c r="D638" s="5">
        <v>2018</v>
      </c>
      <c r="E638" s="21">
        <f t="shared" si="20"/>
        <v>0</v>
      </c>
      <c r="F638" s="21">
        <v>0</v>
      </c>
      <c r="G638" s="21">
        <v>0</v>
      </c>
      <c r="H638" s="21">
        <v>0</v>
      </c>
      <c r="I638" s="21">
        <v>0</v>
      </c>
      <c r="J638" s="21">
        <v>0</v>
      </c>
      <c r="K638" s="267" t="s">
        <v>173</v>
      </c>
      <c r="L638" s="260" t="s">
        <v>38</v>
      </c>
    </row>
    <row r="639" spans="1:12" ht="21.6" customHeight="1" x14ac:dyDescent="0.25">
      <c r="A639" s="343"/>
      <c r="B639" s="271"/>
      <c r="C639" s="265"/>
      <c r="D639" s="4">
        <v>2019</v>
      </c>
      <c r="E639" s="19">
        <f t="shared" si="20"/>
        <v>0</v>
      </c>
      <c r="F639" s="19">
        <v>0</v>
      </c>
      <c r="G639" s="19">
        <v>0</v>
      </c>
      <c r="H639" s="19">
        <v>0</v>
      </c>
      <c r="I639" s="19">
        <v>0</v>
      </c>
      <c r="J639" s="19">
        <v>0</v>
      </c>
      <c r="K639" s="268"/>
      <c r="L639" s="261"/>
    </row>
    <row r="640" spans="1:12" ht="21.6" customHeight="1" x14ac:dyDescent="0.25">
      <c r="A640" s="343"/>
      <c r="B640" s="271"/>
      <c r="C640" s="265"/>
      <c r="D640" s="214">
        <v>2020</v>
      </c>
      <c r="E640" s="19">
        <f t="shared" si="20"/>
        <v>862.3</v>
      </c>
      <c r="F640" s="23">
        <v>0</v>
      </c>
      <c r="G640" s="19">
        <v>0</v>
      </c>
      <c r="H640" s="19">
        <v>862.3</v>
      </c>
      <c r="I640" s="19">
        <v>0</v>
      </c>
      <c r="J640" s="19">
        <v>0</v>
      </c>
      <c r="K640" s="268"/>
      <c r="L640" s="261"/>
    </row>
    <row r="641" spans="1:12" ht="21.6" customHeight="1" x14ac:dyDescent="0.25">
      <c r="A641" s="343"/>
      <c r="B641" s="271"/>
      <c r="C641" s="265"/>
      <c r="D641" s="214">
        <v>2021</v>
      </c>
      <c r="E641" s="19">
        <f t="shared" si="20"/>
        <v>2321.5</v>
      </c>
      <c r="F641" s="23">
        <v>0</v>
      </c>
      <c r="G641" s="19">
        <v>0</v>
      </c>
      <c r="H641" s="19">
        <v>2321.5</v>
      </c>
      <c r="I641" s="19">
        <v>0</v>
      </c>
      <c r="J641" s="19">
        <v>0</v>
      </c>
      <c r="K641" s="268"/>
      <c r="L641" s="261"/>
    </row>
    <row r="642" spans="1:12" ht="21.6" customHeight="1" x14ac:dyDescent="0.25">
      <c r="A642" s="343"/>
      <c r="B642" s="271"/>
      <c r="C642" s="265"/>
      <c r="D642" s="214">
        <v>2022</v>
      </c>
      <c r="E642" s="19">
        <f t="shared" si="20"/>
        <v>1262.0999999999999</v>
      </c>
      <c r="F642" s="23">
        <v>0</v>
      </c>
      <c r="G642" s="19">
        <v>0</v>
      </c>
      <c r="H642" s="19">
        <v>1262.0999999999999</v>
      </c>
      <c r="I642" s="19">
        <v>0</v>
      </c>
      <c r="J642" s="19">
        <v>0</v>
      </c>
      <c r="K642" s="268"/>
      <c r="L642" s="261"/>
    </row>
    <row r="643" spans="1:12" ht="21.6" customHeight="1" x14ac:dyDescent="0.25">
      <c r="A643" s="343"/>
      <c r="B643" s="271"/>
      <c r="C643" s="265"/>
      <c r="D643" s="214">
        <v>2023</v>
      </c>
      <c r="E643" s="19">
        <f t="shared" si="20"/>
        <v>5936.7000000000007</v>
      </c>
      <c r="F643" s="23">
        <v>0</v>
      </c>
      <c r="G643" s="19">
        <v>0</v>
      </c>
      <c r="H643" s="19">
        <f>1891.4+2567.8+1260.1+69.5+147.9</f>
        <v>5936.7000000000007</v>
      </c>
      <c r="I643" s="19">
        <v>0</v>
      </c>
      <c r="J643" s="19">
        <v>0</v>
      </c>
      <c r="K643" s="268"/>
      <c r="L643" s="261"/>
    </row>
    <row r="644" spans="1:12" ht="21.6" customHeight="1" x14ac:dyDescent="0.25">
      <c r="A644" s="343"/>
      <c r="B644" s="271"/>
      <c r="C644" s="265"/>
      <c r="D644" s="214">
        <v>2024</v>
      </c>
      <c r="E644" s="19">
        <f t="shared" si="20"/>
        <v>712.7</v>
      </c>
      <c r="F644" s="23">
        <v>0</v>
      </c>
      <c r="G644" s="19">
        <v>0</v>
      </c>
      <c r="H644" s="178">
        <v>712.7</v>
      </c>
      <c r="I644" s="19">
        <v>0</v>
      </c>
      <c r="J644" s="19">
        <v>0</v>
      </c>
      <c r="K644" s="268"/>
      <c r="L644" s="261"/>
    </row>
    <row r="645" spans="1:12" ht="21.6" customHeight="1" x14ac:dyDescent="0.25">
      <c r="A645" s="343"/>
      <c r="B645" s="271"/>
      <c r="C645" s="265"/>
      <c r="D645" s="214">
        <v>2025</v>
      </c>
      <c r="E645" s="19">
        <f t="shared" si="20"/>
        <v>0</v>
      </c>
      <c r="F645" s="23">
        <v>0</v>
      </c>
      <c r="G645" s="19">
        <v>0</v>
      </c>
      <c r="H645" s="138">
        <v>0</v>
      </c>
      <c r="I645" s="19">
        <v>0</v>
      </c>
      <c r="J645" s="19">
        <v>0</v>
      </c>
      <c r="K645" s="268"/>
      <c r="L645" s="261"/>
    </row>
    <row r="646" spans="1:12" ht="21.6" customHeight="1" thickBot="1" x14ac:dyDescent="0.3">
      <c r="A646" s="344"/>
      <c r="B646" s="272"/>
      <c r="C646" s="226"/>
      <c r="D646" s="118">
        <v>2026</v>
      </c>
      <c r="E646" s="22">
        <f t="shared" si="20"/>
        <v>0</v>
      </c>
      <c r="F646" s="24">
        <v>0</v>
      </c>
      <c r="G646" s="22">
        <v>0</v>
      </c>
      <c r="H646" s="139">
        <v>0</v>
      </c>
      <c r="I646" s="22">
        <v>0</v>
      </c>
      <c r="J646" s="22">
        <v>0</v>
      </c>
      <c r="K646" s="269"/>
      <c r="L646" s="262"/>
    </row>
    <row r="647" spans="1:12" ht="16.5" x14ac:dyDescent="0.25">
      <c r="A647" s="342" t="s">
        <v>174</v>
      </c>
      <c r="B647" s="270" t="s">
        <v>175</v>
      </c>
      <c r="C647" s="266" t="e">
        <f>#REF!+#REF!+#REF!+#REF!+#REF!+#REF!+#REF!+#REF!</f>
        <v>#REF!</v>
      </c>
      <c r="D647" s="5">
        <v>2018</v>
      </c>
      <c r="E647" s="21">
        <f t="shared" si="20"/>
        <v>0</v>
      </c>
      <c r="F647" s="21">
        <v>0</v>
      </c>
      <c r="G647" s="21">
        <v>0</v>
      </c>
      <c r="H647" s="21">
        <v>0</v>
      </c>
      <c r="I647" s="21">
        <v>0</v>
      </c>
      <c r="J647" s="21">
        <v>0</v>
      </c>
      <c r="K647" s="267" t="s">
        <v>176</v>
      </c>
      <c r="L647" s="260" t="s">
        <v>38</v>
      </c>
    </row>
    <row r="648" spans="1:12" ht="16.5" x14ac:dyDescent="0.25">
      <c r="A648" s="343"/>
      <c r="B648" s="271"/>
      <c r="C648" s="265"/>
      <c r="D648" s="4">
        <v>2019</v>
      </c>
      <c r="E648" s="19">
        <f>F648+G648+H648+J648</f>
        <v>0</v>
      </c>
      <c r="F648" s="19">
        <v>0</v>
      </c>
      <c r="G648" s="19">
        <v>0</v>
      </c>
      <c r="H648" s="19">
        <v>0</v>
      </c>
      <c r="I648" s="19">
        <v>0</v>
      </c>
      <c r="J648" s="19">
        <v>0</v>
      </c>
      <c r="K648" s="268"/>
      <c r="L648" s="261"/>
    </row>
    <row r="649" spans="1:12" ht="16.5" x14ac:dyDescent="0.25">
      <c r="A649" s="343"/>
      <c r="B649" s="271"/>
      <c r="C649" s="265"/>
      <c r="D649" s="214">
        <v>2020</v>
      </c>
      <c r="E649" s="19">
        <f t="shared" si="20"/>
        <v>0</v>
      </c>
      <c r="F649" s="23">
        <v>0</v>
      </c>
      <c r="G649" s="19">
        <v>0</v>
      </c>
      <c r="H649" s="19">
        <v>0</v>
      </c>
      <c r="I649" s="19">
        <v>0</v>
      </c>
      <c r="J649" s="19">
        <v>0</v>
      </c>
      <c r="K649" s="268"/>
      <c r="L649" s="261"/>
    </row>
    <row r="650" spans="1:12" ht="16.5" x14ac:dyDescent="0.25">
      <c r="A650" s="343"/>
      <c r="B650" s="271"/>
      <c r="C650" s="265"/>
      <c r="D650" s="214">
        <v>2021</v>
      </c>
      <c r="E650" s="19">
        <f t="shared" si="20"/>
        <v>4189.5</v>
      </c>
      <c r="F650" s="23">
        <v>0</v>
      </c>
      <c r="G650" s="19">
        <v>0</v>
      </c>
      <c r="H650" s="19">
        <v>4189.5</v>
      </c>
      <c r="I650" s="19">
        <v>0</v>
      </c>
      <c r="J650" s="19">
        <v>0</v>
      </c>
      <c r="K650" s="268"/>
      <c r="L650" s="261"/>
    </row>
    <row r="651" spans="1:12" ht="16.5" x14ac:dyDescent="0.25">
      <c r="A651" s="343"/>
      <c r="B651" s="271"/>
      <c r="C651" s="265"/>
      <c r="D651" s="214">
        <v>2022</v>
      </c>
      <c r="E651" s="19">
        <f t="shared" si="20"/>
        <v>0</v>
      </c>
      <c r="F651" s="23">
        <v>0</v>
      </c>
      <c r="G651" s="19">
        <v>0</v>
      </c>
      <c r="H651" s="19">
        <v>0</v>
      </c>
      <c r="I651" s="19">
        <v>0</v>
      </c>
      <c r="J651" s="19">
        <v>0</v>
      </c>
      <c r="K651" s="268"/>
      <c r="L651" s="261"/>
    </row>
    <row r="652" spans="1:12" ht="16.5" x14ac:dyDescent="0.25">
      <c r="A652" s="343"/>
      <c r="B652" s="271"/>
      <c r="C652" s="265"/>
      <c r="D652" s="214">
        <v>2023</v>
      </c>
      <c r="E652" s="19">
        <f t="shared" si="20"/>
        <v>0</v>
      </c>
      <c r="F652" s="23">
        <v>0</v>
      </c>
      <c r="G652" s="19">
        <v>0</v>
      </c>
      <c r="H652" s="19">
        <v>0</v>
      </c>
      <c r="I652" s="19">
        <v>0</v>
      </c>
      <c r="J652" s="19">
        <v>0</v>
      </c>
      <c r="K652" s="268"/>
      <c r="L652" s="261"/>
    </row>
    <row r="653" spans="1:12" ht="16.5" x14ac:dyDescent="0.25">
      <c r="A653" s="343"/>
      <c r="B653" s="271"/>
      <c r="C653" s="265"/>
      <c r="D653" s="214">
        <v>2024</v>
      </c>
      <c r="E653" s="19">
        <f t="shared" si="20"/>
        <v>0</v>
      </c>
      <c r="F653" s="23">
        <v>0</v>
      </c>
      <c r="G653" s="19">
        <v>0</v>
      </c>
      <c r="H653" s="19">
        <v>0</v>
      </c>
      <c r="I653" s="19">
        <v>0</v>
      </c>
      <c r="J653" s="19">
        <v>0</v>
      </c>
      <c r="K653" s="268"/>
      <c r="L653" s="261"/>
    </row>
    <row r="654" spans="1:12" ht="16.5" x14ac:dyDescent="0.25">
      <c r="A654" s="343"/>
      <c r="B654" s="271"/>
      <c r="C654" s="265"/>
      <c r="D654" s="214">
        <v>2025</v>
      </c>
      <c r="E654" s="19">
        <f t="shared" si="20"/>
        <v>0</v>
      </c>
      <c r="F654" s="23">
        <v>0</v>
      </c>
      <c r="G654" s="19">
        <v>0</v>
      </c>
      <c r="H654" s="19">
        <v>0</v>
      </c>
      <c r="I654" s="19">
        <v>0</v>
      </c>
      <c r="J654" s="19">
        <v>0</v>
      </c>
      <c r="K654" s="268"/>
      <c r="L654" s="261"/>
    </row>
    <row r="655" spans="1:12" ht="17.25" thickBot="1" x14ac:dyDescent="0.3">
      <c r="A655" s="344"/>
      <c r="B655" s="272"/>
      <c r="C655" s="226"/>
      <c r="D655" s="118">
        <v>2026</v>
      </c>
      <c r="E655" s="22">
        <f t="shared" si="20"/>
        <v>0</v>
      </c>
      <c r="F655" s="24">
        <v>0</v>
      </c>
      <c r="G655" s="22">
        <v>0</v>
      </c>
      <c r="H655" s="22">
        <v>0</v>
      </c>
      <c r="I655" s="22">
        <v>0</v>
      </c>
      <c r="J655" s="22">
        <v>0</v>
      </c>
      <c r="K655" s="269"/>
      <c r="L655" s="262"/>
    </row>
    <row r="656" spans="1:12" ht="16.5" x14ac:dyDescent="0.25">
      <c r="A656" s="342" t="s">
        <v>177</v>
      </c>
      <c r="B656" s="270" t="s">
        <v>208</v>
      </c>
      <c r="C656" s="266" t="e">
        <f>#REF!+#REF!+#REF!+#REF!+#REF!+#REF!+#REF!+#REF!</f>
        <v>#REF!</v>
      </c>
      <c r="D656" s="5">
        <v>2018</v>
      </c>
      <c r="E656" s="21">
        <f t="shared" si="20"/>
        <v>0</v>
      </c>
      <c r="F656" s="21">
        <v>0</v>
      </c>
      <c r="G656" s="21">
        <v>0</v>
      </c>
      <c r="H656" s="21">
        <v>0</v>
      </c>
      <c r="I656" s="21">
        <v>0</v>
      </c>
      <c r="J656" s="21">
        <v>0</v>
      </c>
      <c r="K656" s="267" t="s">
        <v>195</v>
      </c>
      <c r="L656" s="260" t="s">
        <v>38</v>
      </c>
    </row>
    <row r="657" spans="1:12" ht="16.5" x14ac:dyDescent="0.25">
      <c r="A657" s="343"/>
      <c r="B657" s="271"/>
      <c r="C657" s="265"/>
      <c r="D657" s="4">
        <v>2019</v>
      </c>
      <c r="E657" s="19">
        <f t="shared" si="20"/>
        <v>0</v>
      </c>
      <c r="F657" s="19">
        <v>0</v>
      </c>
      <c r="G657" s="19">
        <v>0</v>
      </c>
      <c r="H657" s="19">
        <v>0</v>
      </c>
      <c r="I657" s="19">
        <v>0</v>
      </c>
      <c r="J657" s="19">
        <v>0</v>
      </c>
      <c r="K657" s="268"/>
      <c r="L657" s="261"/>
    </row>
    <row r="658" spans="1:12" ht="16.5" x14ac:dyDescent="0.25">
      <c r="A658" s="343"/>
      <c r="B658" s="271"/>
      <c r="C658" s="265"/>
      <c r="D658" s="214">
        <v>2020</v>
      </c>
      <c r="E658" s="19">
        <f t="shared" si="20"/>
        <v>0</v>
      </c>
      <c r="F658" s="23">
        <v>0</v>
      </c>
      <c r="G658" s="19">
        <v>0</v>
      </c>
      <c r="H658" s="19">
        <v>0</v>
      </c>
      <c r="I658" s="19">
        <v>0</v>
      </c>
      <c r="J658" s="19">
        <v>0</v>
      </c>
      <c r="K658" s="268"/>
      <c r="L658" s="261"/>
    </row>
    <row r="659" spans="1:12" ht="16.5" x14ac:dyDescent="0.25">
      <c r="A659" s="343"/>
      <c r="B659" s="271"/>
      <c r="C659" s="265"/>
      <c r="D659" s="214">
        <v>2021</v>
      </c>
      <c r="E659" s="19">
        <f t="shared" si="20"/>
        <v>0</v>
      </c>
      <c r="F659" s="23">
        <v>0</v>
      </c>
      <c r="G659" s="19">
        <v>0</v>
      </c>
      <c r="H659" s="19">
        <v>0</v>
      </c>
      <c r="I659" s="19">
        <v>0</v>
      </c>
      <c r="J659" s="19">
        <v>0</v>
      </c>
      <c r="K659" s="268"/>
      <c r="L659" s="261"/>
    </row>
    <row r="660" spans="1:12" ht="16.5" x14ac:dyDescent="0.25">
      <c r="A660" s="343"/>
      <c r="B660" s="271"/>
      <c r="C660" s="265"/>
      <c r="D660" s="214">
        <v>2022</v>
      </c>
      <c r="E660" s="19">
        <f t="shared" si="20"/>
        <v>2671.6</v>
      </c>
      <c r="F660" s="23">
        <v>0</v>
      </c>
      <c r="G660" s="19">
        <v>0</v>
      </c>
      <c r="H660" s="19">
        <f>3127.6-350-36-70</f>
        <v>2671.6</v>
      </c>
      <c r="I660" s="19">
        <v>0</v>
      </c>
      <c r="J660" s="19">
        <v>0</v>
      </c>
      <c r="K660" s="268"/>
      <c r="L660" s="261"/>
    </row>
    <row r="661" spans="1:12" ht="16.5" x14ac:dyDescent="0.25">
      <c r="A661" s="343"/>
      <c r="B661" s="271"/>
      <c r="C661" s="265"/>
      <c r="D661" s="214">
        <v>2023</v>
      </c>
      <c r="E661" s="19">
        <f t="shared" si="20"/>
        <v>3014.1000000000004</v>
      </c>
      <c r="F661" s="23">
        <v>0</v>
      </c>
      <c r="G661" s="19">
        <v>0</v>
      </c>
      <c r="H661" s="19">
        <f>2000+75.8+693.3+245</f>
        <v>3014.1000000000004</v>
      </c>
      <c r="I661" s="19">
        <v>0</v>
      </c>
      <c r="J661" s="19">
        <v>0</v>
      </c>
      <c r="K661" s="268"/>
      <c r="L661" s="261"/>
    </row>
    <row r="662" spans="1:12" ht="16.5" x14ac:dyDescent="0.25">
      <c r="A662" s="343"/>
      <c r="B662" s="271"/>
      <c r="C662" s="265"/>
      <c r="D662" s="214">
        <v>2024</v>
      </c>
      <c r="E662" s="19">
        <f t="shared" si="20"/>
        <v>2981</v>
      </c>
      <c r="F662" s="23">
        <v>0</v>
      </c>
      <c r="G662" s="19">
        <v>0</v>
      </c>
      <c r="H662" s="138">
        <f>2957.7+23.3</f>
        <v>2981</v>
      </c>
      <c r="I662" s="19">
        <v>0</v>
      </c>
      <c r="J662" s="19">
        <v>0</v>
      </c>
      <c r="K662" s="268"/>
      <c r="L662" s="261"/>
    </row>
    <row r="663" spans="1:12" ht="16.5" x14ac:dyDescent="0.25">
      <c r="A663" s="343"/>
      <c r="B663" s="271"/>
      <c r="C663" s="265"/>
      <c r="D663" s="214">
        <v>2025</v>
      </c>
      <c r="E663" s="19">
        <f t="shared" si="20"/>
        <v>2143.9</v>
      </c>
      <c r="F663" s="23">
        <v>0</v>
      </c>
      <c r="G663" s="19">
        <v>0</v>
      </c>
      <c r="H663" s="138">
        <f>2143.9</f>
        <v>2143.9</v>
      </c>
      <c r="I663" s="19">
        <v>0</v>
      </c>
      <c r="J663" s="19">
        <v>0</v>
      </c>
      <c r="K663" s="268"/>
      <c r="L663" s="261"/>
    </row>
    <row r="664" spans="1:12" ht="17.25" thickBot="1" x14ac:dyDescent="0.3">
      <c r="A664" s="344"/>
      <c r="B664" s="272"/>
      <c r="C664" s="226"/>
      <c r="D664" s="118">
        <v>2026</v>
      </c>
      <c r="E664" s="22">
        <f t="shared" si="20"/>
        <v>2143.9</v>
      </c>
      <c r="F664" s="24">
        <v>0</v>
      </c>
      <c r="G664" s="22">
        <v>0</v>
      </c>
      <c r="H664" s="139">
        <f>2143.9</f>
        <v>2143.9</v>
      </c>
      <c r="I664" s="22">
        <v>0</v>
      </c>
      <c r="J664" s="22">
        <v>0</v>
      </c>
      <c r="K664" s="269"/>
      <c r="L664" s="262"/>
    </row>
    <row r="665" spans="1:12" ht="16.5" x14ac:dyDescent="0.25">
      <c r="A665" s="342" t="s">
        <v>178</v>
      </c>
      <c r="B665" s="270" t="s">
        <v>179</v>
      </c>
      <c r="C665" s="266" t="e">
        <f>#REF!+#REF!+#REF!+#REF!+#REF!+#REF!+#REF!+#REF!</f>
        <v>#REF!</v>
      </c>
      <c r="D665" s="5">
        <v>2018</v>
      </c>
      <c r="E665" s="21">
        <f t="shared" si="20"/>
        <v>0</v>
      </c>
      <c r="F665" s="21">
        <v>0</v>
      </c>
      <c r="G665" s="21">
        <v>0</v>
      </c>
      <c r="H665" s="21">
        <v>0</v>
      </c>
      <c r="I665" s="21">
        <v>0</v>
      </c>
      <c r="J665" s="21">
        <v>0</v>
      </c>
      <c r="K665" s="267" t="s">
        <v>202</v>
      </c>
      <c r="L665" s="260" t="s">
        <v>38</v>
      </c>
    </row>
    <row r="666" spans="1:12" ht="16.5" x14ac:dyDescent="0.25">
      <c r="A666" s="343"/>
      <c r="B666" s="271"/>
      <c r="C666" s="265"/>
      <c r="D666" s="4">
        <v>2019</v>
      </c>
      <c r="E666" s="19">
        <f t="shared" si="20"/>
        <v>0</v>
      </c>
      <c r="F666" s="19">
        <v>0</v>
      </c>
      <c r="G666" s="19">
        <v>0</v>
      </c>
      <c r="H666" s="19">
        <v>0</v>
      </c>
      <c r="I666" s="19">
        <v>0</v>
      </c>
      <c r="J666" s="19">
        <v>0</v>
      </c>
      <c r="K666" s="268"/>
      <c r="L666" s="261"/>
    </row>
    <row r="667" spans="1:12" ht="16.5" x14ac:dyDescent="0.25">
      <c r="A667" s="343"/>
      <c r="B667" s="271"/>
      <c r="C667" s="265"/>
      <c r="D667" s="214">
        <v>2020</v>
      </c>
      <c r="E667" s="19">
        <f t="shared" si="20"/>
        <v>0</v>
      </c>
      <c r="F667" s="23">
        <v>0</v>
      </c>
      <c r="G667" s="19">
        <v>0</v>
      </c>
      <c r="H667" s="19">
        <v>0</v>
      </c>
      <c r="I667" s="19">
        <v>0</v>
      </c>
      <c r="J667" s="19">
        <v>0</v>
      </c>
      <c r="K667" s="268"/>
      <c r="L667" s="261"/>
    </row>
    <row r="668" spans="1:12" ht="16.5" x14ac:dyDescent="0.25">
      <c r="A668" s="343"/>
      <c r="B668" s="271"/>
      <c r="C668" s="265"/>
      <c r="D668" s="214">
        <v>2021</v>
      </c>
      <c r="E668" s="19">
        <f t="shared" si="20"/>
        <v>0</v>
      </c>
      <c r="F668" s="23">
        <v>0</v>
      </c>
      <c r="G668" s="19">
        <v>0</v>
      </c>
      <c r="H668" s="19">
        <v>0</v>
      </c>
      <c r="I668" s="19">
        <v>0</v>
      </c>
      <c r="J668" s="19">
        <v>0</v>
      </c>
      <c r="K668" s="268"/>
      <c r="L668" s="261"/>
    </row>
    <row r="669" spans="1:12" ht="16.5" x14ac:dyDescent="0.25">
      <c r="A669" s="343"/>
      <c r="B669" s="271"/>
      <c r="C669" s="265"/>
      <c r="D669" s="214">
        <v>2022</v>
      </c>
      <c r="E669" s="19">
        <f t="shared" si="20"/>
        <v>75.799999999999955</v>
      </c>
      <c r="F669" s="23">
        <v>0</v>
      </c>
      <c r="G669" s="19">
        <v>0</v>
      </c>
      <c r="H669" s="19">
        <f>1238.8-1163</f>
        <v>75.799999999999955</v>
      </c>
      <c r="I669" s="19">
        <v>0</v>
      </c>
      <c r="J669" s="19">
        <v>0</v>
      </c>
      <c r="K669" s="268"/>
      <c r="L669" s="261"/>
    </row>
    <row r="670" spans="1:12" ht="16.5" x14ac:dyDescent="0.25">
      <c r="A670" s="343"/>
      <c r="B670" s="271"/>
      <c r="C670" s="265"/>
      <c r="D670" s="214">
        <v>2023</v>
      </c>
      <c r="E670" s="19">
        <f>F670+G670+H670+J670</f>
        <v>86.5</v>
      </c>
      <c r="F670" s="23">
        <v>0</v>
      </c>
      <c r="G670" s="19">
        <v>0</v>
      </c>
      <c r="H670" s="19">
        <f>49.3+10+5+22.2</f>
        <v>86.5</v>
      </c>
      <c r="I670" s="19">
        <v>0</v>
      </c>
      <c r="J670" s="19">
        <v>0</v>
      </c>
      <c r="K670" s="268"/>
      <c r="L670" s="261"/>
    </row>
    <row r="671" spans="1:12" ht="16.5" x14ac:dyDescent="0.25">
      <c r="A671" s="343"/>
      <c r="B671" s="271"/>
      <c r="C671" s="265"/>
      <c r="D671" s="214">
        <v>2024</v>
      </c>
      <c r="E671" s="19">
        <f t="shared" si="20"/>
        <v>58.7</v>
      </c>
      <c r="F671" s="23">
        <v>0</v>
      </c>
      <c r="G671" s="19">
        <v>0</v>
      </c>
      <c r="H671" s="138">
        <f>58.7</f>
        <v>58.7</v>
      </c>
      <c r="I671" s="19">
        <v>0</v>
      </c>
      <c r="J671" s="19">
        <v>0</v>
      </c>
      <c r="K671" s="268"/>
      <c r="L671" s="261"/>
    </row>
    <row r="672" spans="1:12" ht="16.5" x14ac:dyDescent="0.25">
      <c r="A672" s="343"/>
      <c r="B672" s="271"/>
      <c r="C672" s="265"/>
      <c r="D672" s="214">
        <v>2025</v>
      </c>
      <c r="E672" s="19">
        <f t="shared" si="20"/>
        <v>40.700000000000003</v>
      </c>
      <c r="F672" s="23">
        <v>0</v>
      </c>
      <c r="G672" s="19">
        <v>0</v>
      </c>
      <c r="H672" s="138">
        <v>40.700000000000003</v>
      </c>
      <c r="I672" s="19">
        <v>0</v>
      </c>
      <c r="J672" s="19">
        <v>0</v>
      </c>
      <c r="K672" s="268"/>
      <c r="L672" s="261"/>
    </row>
    <row r="673" spans="1:13" ht="17.25" thickBot="1" x14ac:dyDescent="0.3">
      <c r="A673" s="344"/>
      <c r="B673" s="272"/>
      <c r="C673" s="226"/>
      <c r="D673" s="118">
        <v>2026</v>
      </c>
      <c r="E673" s="22">
        <f t="shared" si="20"/>
        <v>40.700000000000003</v>
      </c>
      <c r="F673" s="24">
        <v>0</v>
      </c>
      <c r="G673" s="22">
        <v>0</v>
      </c>
      <c r="H673" s="139">
        <v>40.700000000000003</v>
      </c>
      <c r="I673" s="22">
        <v>0</v>
      </c>
      <c r="J673" s="22">
        <v>0</v>
      </c>
      <c r="K673" s="269"/>
      <c r="L673" s="262"/>
    </row>
    <row r="674" spans="1:13" ht="16.5" x14ac:dyDescent="0.25">
      <c r="A674" s="342" t="s">
        <v>226</v>
      </c>
      <c r="B674" s="270" t="s">
        <v>342</v>
      </c>
      <c r="C674" s="266" t="e">
        <f>#REF!+#REF!+#REF!+#REF!+#REF!+#REF!+#REF!+#REF!</f>
        <v>#REF!</v>
      </c>
      <c r="D674" s="5">
        <v>2018</v>
      </c>
      <c r="E674" s="21">
        <f t="shared" si="20"/>
        <v>0</v>
      </c>
      <c r="F674" s="21">
        <v>0</v>
      </c>
      <c r="G674" s="21">
        <v>0</v>
      </c>
      <c r="H674" s="21">
        <v>0</v>
      </c>
      <c r="I674" s="21">
        <v>0</v>
      </c>
      <c r="J674" s="21">
        <v>0</v>
      </c>
      <c r="K674" s="267" t="s">
        <v>219</v>
      </c>
      <c r="L674" s="260" t="s">
        <v>38</v>
      </c>
    </row>
    <row r="675" spans="1:13" ht="16.5" x14ac:dyDescent="0.25">
      <c r="A675" s="343"/>
      <c r="B675" s="271"/>
      <c r="C675" s="265"/>
      <c r="D675" s="4">
        <v>2019</v>
      </c>
      <c r="E675" s="19">
        <f t="shared" si="20"/>
        <v>0</v>
      </c>
      <c r="F675" s="19">
        <v>0</v>
      </c>
      <c r="G675" s="19">
        <v>0</v>
      </c>
      <c r="H675" s="19">
        <v>0</v>
      </c>
      <c r="I675" s="19">
        <v>0</v>
      </c>
      <c r="J675" s="19">
        <v>0</v>
      </c>
      <c r="K675" s="268"/>
      <c r="L675" s="261"/>
    </row>
    <row r="676" spans="1:13" ht="16.5" x14ac:dyDescent="0.25">
      <c r="A676" s="343"/>
      <c r="B676" s="271"/>
      <c r="C676" s="265"/>
      <c r="D676" s="214">
        <v>2020</v>
      </c>
      <c r="E676" s="19">
        <f t="shared" si="20"/>
        <v>0</v>
      </c>
      <c r="F676" s="23">
        <v>0</v>
      </c>
      <c r="G676" s="19">
        <v>0</v>
      </c>
      <c r="H676" s="19">
        <v>0</v>
      </c>
      <c r="I676" s="19">
        <v>0</v>
      </c>
      <c r="J676" s="19">
        <v>0</v>
      </c>
      <c r="K676" s="268"/>
      <c r="L676" s="261"/>
    </row>
    <row r="677" spans="1:13" ht="16.5" x14ac:dyDescent="0.25">
      <c r="A677" s="343"/>
      <c r="B677" s="271"/>
      <c r="C677" s="265"/>
      <c r="D677" s="214">
        <v>2021</v>
      </c>
      <c r="E677" s="19">
        <f t="shared" si="20"/>
        <v>0</v>
      </c>
      <c r="F677" s="23">
        <v>0</v>
      </c>
      <c r="G677" s="19">
        <v>0</v>
      </c>
      <c r="H677" s="19">
        <v>0</v>
      </c>
      <c r="I677" s="19">
        <v>0</v>
      </c>
      <c r="J677" s="19">
        <v>0</v>
      </c>
      <c r="K677" s="268"/>
      <c r="L677" s="261"/>
    </row>
    <row r="678" spans="1:13" ht="16.5" x14ac:dyDescent="0.25">
      <c r="A678" s="343"/>
      <c r="B678" s="271"/>
      <c r="C678" s="265"/>
      <c r="D678" s="214">
        <v>2022</v>
      </c>
      <c r="E678" s="19">
        <f t="shared" si="20"/>
        <v>1081.7</v>
      </c>
      <c r="F678" s="23">
        <v>0</v>
      </c>
      <c r="G678" s="19">
        <f>1473.2+308.5-700</f>
        <v>1081.7</v>
      </c>
      <c r="H678" s="19">
        <v>0</v>
      </c>
      <c r="I678" s="19">
        <v>0</v>
      </c>
      <c r="J678" s="19">
        <v>0</v>
      </c>
      <c r="K678" s="268"/>
      <c r="L678" s="261"/>
    </row>
    <row r="679" spans="1:13" ht="16.5" x14ac:dyDescent="0.25">
      <c r="A679" s="343"/>
      <c r="B679" s="271"/>
      <c r="C679" s="265"/>
      <c r="D679" s="214">
        <v>2023</v>
      </c>
      <c r="E679" s="19">
        <f t="shared" si="20"/>
        <v>1971.3999999999999</v>
      </c>
      <c r="F679" s="23">
        <v>0</v>
      </c>
      <c r="G679" s="19">
        <f>1594.1+377.3</f>
        <v>1971.3999999999999</v>
      </c>
      <c r="H679" s="19">
        <v>0</v>
      </c>
      <c r="I679" s="19">
        <v>0</v>
      </c>
      <c r="J679" s="19">
        <v>0</v>
      </c>
      <c r="K679" s="268"/>
      <c r="L679" s="261"/>
    </row>
    <row r="680" spans="1:13" ht="16.5" x14ac:dyDescent="0.25">
      <c r="A680" s="343"/>
      <c r="B680" s="271"/>
      <c r="C680" s="265"/>
      <c r="D680" s="214">
        <v>2024</v>
      </c>
      <c r="E680" s="19">
        <f t="shared" si="20"/>
        <v>1801.6</v>
      </c>
      <c r="F680" s="23">
        <v>0</v>
      </c>
      <c r="G680" s="19">
        <v>1801.6</v>
      </c>
      <c r="H680" s="19">
        <v>0</v>
      </c>
      <c r="I680" s="19">
        <v>0</v>
      </c>
      <c r="J680" s="19">
        <v>0</v>
      </c>
      <c r="K680" s="268"/>
      <c r="L680" s="261"/>
    </row>
    <row r="681" spans="1:13" ht="16.5" x14ac:dyDescent="0.25">
      <c r="A681" s="343"/>
      <c r="B681" s="271"/>
      <c r="C681" s="265"/>
      <c r="D681" s="214">
        <v>2025</v>
      </c>
      <c r="E681" s="19">
        <f t="shared" si="20"/>
        <v>2163</v>
      </c>
      <c r="F681" s="23">
        <v>0</v>
      </c>
      <c r="G681" s="19">
        <v>2163</v>
      </c>
      <c r="H681" s="19">
        <v>0</v>
      </c>
      <c r="I681" s="19">
        <v>0</v>
      </c>
      <c r="J681" s="19">
        <v>0</v>
      </c>
      <c r="K681" s="268"/>
      <c r="L681" s="261"/>
    </row>
    <row r="682" spans="1:13" ht="17.25" thickBot="1" x14ac:dyDescent="0.3">
      <c r="A682" s="344"/>
      <c r="B682" s="272"/>
      <c r="C682" s="226"/>
      <c r="D682" s="118">
        <v>2026</v>
      </c>
      <c r="E682" s="22">
        <f t="shared" si="20"/>
        <v>2426.3000000000002</v>
      </c>
      <c r="F682" s="24"/>
      <c r="G682" s="22">
        <v>2426.3000000000002</v>
      </c>
      <c r="H682" s="22"/>
      <c r="I682" s="22"/>
      <c r="J682" s="22"/>
      <c r="K682" s="269"/>
      <c r="L682" s="262"/>
    </row>
    <row r="683" spans="1:13" ht="16.5" x14ac:dyDescent="0.25">
      <c r="A683" s="342" t="s">
        <v>229</v>
      </c>
      <c r="B683" s="270" t="s">
        <v>180</v>
      </c>
      <c r="C683" s="266" t="e">
        <f>#REF!+#REF!+#REF!+#REF!+#REF!+#REF!+#REF!+#REF!</f>
        <v>#REF!</v>
      </c>
      <c r="D683" s="5">
        <v>2018</v>
      </c>
      <c r="E683" s="21">
        <f t="shared" si="20"/>
        <v>0</v>
      </c>
      <c r="F683" s="21">
        <v>0</v>
      </c>
      <c r="G683" s="21">
        <v>0</v>
      </c>
      <c r="H683" s="21">
        <v>0</v>
      </c>
      <c r="I683" s="21"/>
      <c r="J683" s="21">
        <v>0</v>
      </c>
      <c r="K683" s="267" t="s">
        <v>203</v>
      </c>
      <c r="L683" s="260" t="s">
        <v>38</v>
      </c>
    </row>
    <row r="684" spans="1:13" ht="16.5" x14ac:dyDescent="0.25">
      <c r="A684" s="343"/>
      <c r="B684" s="271"/>
      <c r="C684" s="265"/>
      <c r="D684" s="4">
        <v>2019</v>
      </c>
      <c r="E684" s="19">
        <f t="shared" si="20"/>
        <v>0</v>
      </c>
      <c r="F684" s="19">
        <v>0</v>
      </c>
      <c r="G684" s="19">
        <v>0</v>
      </c>
      <c r="H684" s="19">
        <v>0</v>
      </c>
      <c r="I684" s="19">
        <v>0</v>
      </c>
      <c r="J684" s="19">
        <v>0</v>
      </c>
      <c r="K684" s="268"/>
      <c r="L684" s="261"/>
    </row>
    <row r="685" spans="1:13" ht="16.5" x14ac:dyDescent="0.25">
      <c r="A685" s="343"/>
      <c r="B685" s="271"/>
      <c r="C685" s="265"/>
      <c r="D685" s="214">
        <v>2020</v>
      </c>
      <c r="E685" s="19">
        <f t="shared" si="20"/>
        <v>0</v>
      </c>
      <c r="F685" s="23">
        <v>0</v>
      </c>
      <c r="G685" s="19">
        <v>0</v>
      </c>
      <c r="H685" s="19">
        <v>0</v>
      </c>
      <c r="I685" s="19">
        <v>0</v>
      </c>
      <c r="J685" s="19">
        <v>0</v>
      </c>
      <c r="K685" s="268"/>
      <c r="L685" s="261"/>
    </row>
    <row r="686" spans="1:13" ht="16.5" x14ac:dyDescent="0.25">
      <c r="A686" s="343"/>
      <c r="B686" s="271"/>
      <c r="C686" s="265"/>
      <c r="D686" s="214">
        <v>2021</v>
      </c>
      <c r="E686" s="19">
        <f t="shared" si="20"/>
        <v>0</v>
      </c>
      <c r="F686" s="23">
        <v>0</v>
      </c>
      <c r="G686" s="19">
        <v>0</v>
      </c>
      <c r="H686" s="19">
        <v>0</v>
      </c>
      <c r="I686" s="19">
        <v>0</v>
      </c>
      <c r="J686" s="19">
        <v>0</v>
      </c>
      <c r="K686" s="268"/>
      <c r="L686" s="261"/>
    </row>
    <row r="687" spans="1:13" ht="16.5" x14ac:dyDescent="0.25">
      <c r="A687" s="343"/>
      <c r="B687" s="271"/>
      <c r="C687" s="265"/>
      <c r="D687" s="214">
        <v>2022</v>
      </c>
      <c r="E687" s="19">
        <f>F687+G687+H687+J687</f>
        <v>12593.2</v>
      </c>
      <c r="F687" s="23">
        <v>0</v>
      </c>
      <c r="G687" s="19">
        <v>7555.9</v>
      </c>
      <c r="H687" s="19">
        <v>5037.3</v>
      </c>
      <c r="I687" s="19">
        <v>5037.3</v>
      </c>
      <c r="J687" s="19">
        <v>0</v>
      </c>
      <c r="K687" s="268"/>
      <c r="L687" s="261"/>
    </row>
    <row r="688" spans="1:13" ht="16.5" x14ac:dyDescent="0.25">
      <c r="A688" s="343"/>
      <c r="B688" s="271"/>
      <c r="C688" s="265"/>
      <c r="D688" s="214">
        <v>2023</v>
      </c>
      <c r="E688" s="19">
        <f t="shared" si="20"/>
        <v>16906.7</v>
      </c>
      <c r="F688" s="23">
        <v>0</v>
      </c>
      <c r="G688" s="19">
        <v>10144</v>
      </c>
      <c r="H688" s="19">
        <f>I688</f>
        <v>6762.7</v>
      </c>
      <c r="I688" s="19">
        <f>5051.9+1710.8</f>
        <v>6762.7</v>
      </c>
      <c r="J688" s="19">
        <v>0</v>
      </c>
      <c r="K688" s="268"/>
      <c r="L688" s="261"/>
      <c r="M688" s="29"/>
    </row>
    <row r="689" spans="1:12" ht="16.5" x14ac:dyDescent="0.25">
      <c r="A689" s="343"/>
      <c r="B689" s="271"/>
      <c r="C689" s="265"/>
      <c r="D689" s="214">
        <v>2024</v>
      </c>
      <c r="E689" s="19">
        <f t="shared" si="20"/>
        <v>13510</v>
      </c>
      <c r="F689" s="23">
        <v>0</v>
      </c>
      <c r="G689" s="138">
        <v>8106</v>
      </c>
      <c r="H689" s="178">
        <f>I689</f>
        <v>5404</v>
      </c>
      <c r="I689" s="138">
        <f>5404</f>
        <v>5404</v>
      </c>
      <c r="J689" s="19">
        <v>0</v>
      </c>
      <c r="K689" s="268"/>
      <c r="L689" s="261"/>
    </row>
    <row r="690" spans="1:12" ht="16.5" x14ac:dyDescent="0.25">
      <c r="A690" s="343"/>
      <c r="B690" s="271"/>
      <c r="C690" s="265"/>
      <c r="D690" s="214">
        <v>2025</v>
      </c>
      <c r="E690" s="19">
        <f t="shared" si="20"/>
        <v>14407.900000000001</v>
      </c>
      <c r="F690" s="23">
        <v>0</v>
      </c>
      <c r="G690" s="138">
        <v>8644.7000000000007</v>
      </c>
      <c r="H690" s="138">
        <f>I690</f>
        <v>5763.2</v>
      </c>
      <c r="I690" s="138">
        <f>5763.2</f>
        <v>5763.2</v>
      </c>
      <c r="J690" s="19">
        <v>0</v>
      </c>
      <c r="K690" s="268"/>
      <c r="L690" s="261"/>
    </row>
    <row r="691" spans="1:12" ht="17.25" thickBot="1" x14ac:dyDescent="0.3">
      <c r="A691" s="344"/>
      <c r="B691" s="272"/>
      <c r="C691" s="226"/>
      <c r="D691" s="118">
        <v>2026</v>
      </c>
      <c r="E691" s="22">
        <f t="shared" si="20"/>
        <v>15271.7</v>
      </c>
      <c r="F691" s="24">
        <v>0</v>
      </c>
      <c r="G691" s="139">
        <v>9163</v>
      </c>
      <c r="H691" s="139">
        <f>I691</f>
        <v>6108.7</v>
      </c>
      <c r="I691" s="139">
        <v>6108.7</v>
      </c>
      <c r="J691" s="22">
        <v>0</v>
      </c>
      <c r="K691" s="269"/>
      <c r="L691" s="262"/>
    </row>
    <row r="692" spans="1:12" ht="17.25" thickBot="1" x14ac:dyDescent="0.3">
      <c r="A692" s="40">
        <v>1</v>
      </c>
      <c r="B692" s="15">
        <v>2</v>
      </c>
      <c r="C692" s="15"/>
      <c r="D692" s="15">
        <v>3</v>
      </c>
      <c r="E692" s="15">
        <v>4</v>
      </c>
      <c r="F692" s="15">
        <v>5</v>
      </c>
      <c r="G692" s="15">
        <v>6</v>
      </c>
      <c r="H692" s="15">
        <v>7</v>
      </c>
      <c r="I692" s="15">
        <v>8</v>
      </c>
      <c r="J692" s="15">
        <v>9</v>
      </c>
      <c r="K692" s="134">
        <v>10</v>
      </c>
      <c r="L692" s="134">
        <v>11</v>
      </c>
    </row>
    <row r="693" spans="1:12" ht="16.5" x14ac:dyDescent="0.25">
      <c r="A693" s="342" t="s">
        <v>230</v>
      </c>
      <c r="B693" s="338" t="s">
        <v>221</v>
      </c>
      <c r="C693" s="212"/>
      <c r="D693" s="213">
        <v>2018</v>
      </c>
      <c r="E693" s="21">
        <f t="shared" ref="E693:E696" si="21">F693+G693+H693+J693</f>
        <v>0</v>
      </c>
      <c r="F693" s="71">
        <v>0</v>
      </c>
      <c r="G693" s="21">
        <v>0</v>
      </c>
      <c r="H693" s="71">
        <v>0</v>
      </c>
      <c r="I693" s="21">
        <v>0</v>
      </c>
      <c r="J693" s="71">
        <v>0</v>
      </c>
      <c r="K693" s="267" t="s">
        <v>205</v>
      </c>
      <c r="L693" s="260" t="s">
        <v>38</v>
      </c>
    </row>
    <row r="694" spans="1:12" ht="16.5" x14ac:dyDescent="0.25">
      <c r="A694" s="343"/>
      <c r="B694" s="336"/>
      <c r="C694" s="211"/>
      <c r="D694" s="214">
        <v>2019</v>
      </c>
      <c r="E694" s="19">
        <f t="shared" si="21"/>
        <v>0</v>
      </c>
      <c r="F694" s="23">
        <v>0</v>
      </c>
      <c r="G694" s="19">
        <v>0</v>
      </c>
      <c r="H694" s="23">
        <v>0</v>
      </c>
      <c r="I694" s="19">
        <v>0</v>
      </c>
      <c r="J694" s="23">
        <v>0</v>
      </c>
      <c r="K694" s="268"/>
      <c r="L694" s="261"/>
    </row>
    <row r="695" spans="1:12" ht="16.5" x14ac:dyDescent="0.25">
      <c r="A695" s="343"/>
      <c r="B695" s="336"/>
      <c r="C695" s="211"/>
      <c r="D695" s="214">
        <v>2020</v>
      </c>
      <c r="E695" s="19">
        <f t="shared" si="21"/>
        <v>0</v>
      </c>
      <c r="F695" s="23">
        <v>0</v>
      </c>
      <c r="G695" s="19">
        <v>0</v>
      </c>
      <c r="H695" s="23">
        <v>0</v>
      </c>
      <c r="I695" s="19">
        <v>0</v>
      </c>
      <c r="J695" s="23">
        <v>0</v>
      </c>
      <c r="K695" s="268"/>
      <c r="L695" s="261"/>
    </row>
    <row r="696" spans="1:12" ht="16.5" x14ac:dyDescent="0.25">
      <c r="A696" s="343"/>
      <c r="B696" s="336"/>
      <c r="C696" s="211"/>
      <c r="D696" s="214">
        <v>2021</v>
      </c>
      <c r="E696" s="19">
        <f t="shared" si="21"/>
        <v>0</v>
      </c>
      <c r="F696" s="23">
        <v>0</v>
      </c>
      <c r="G696" s="19">
        <v>0</v>
      </c>
      <c r="H696" s="23">
        <v>0</v>
      </c>
      <c r="I696" s="19">
        <v>0</v>
      </c>
      <c r="J696" s="23">
        <v>0</v>
      </c>
      <c r="K696" s="268"/>
      <c r="L696" s="261"/>
    </row>
    <row r="697" spans="1:12" ht="16.5" x14ac:dyDescent="0.25">
      <c r="A697" s="343"/>
      <c r="B697" s="336"/>
      <c r="C697" s="211"/>
      <c r="D697" s="214">
        <v>2022</v>
      </c>
      <c r="E697" s="19">
        <f>F697+G697+H697+J697</f>
        <v>2155.6</v>
      </c>
      <c r="F697" s="23">
        <v>0</v>
      </c>
      <c r="G697" s="19">
        <v>2155.6</v>
      </c>
      <c r="H697" s="23">
        <v>0</v>
      </c>
      <c r="I697" s="19">
        <v>0</v>
      </c>
      <c r="J697" s="23">
        <v>0</v>
      </c>
      <c r="K697" s="268"/>
      <c r="L697" s="261"/>
    </row>
    <row r="698" spans="1:12" ht="16.5" x14ac:dyDescent="0.25">
      <c r="A698" s="343"/>
      <c r="B698" s="336"/>
      <c r="C698" s="211"/>
      <c r="D698" s="214">
        <v>2023</v>
      </c>
      <c r="E698" s="19">
        <f t="shared" ref="E698:E705" si="22">F698+G698+H698+J698</f>
        <v>6822.5</v>
      </c>
      <c r="F698" s="23">
        <v>0</v>
      </c>
      <c r="G698" s="19">
        <f>6509.2+313.3</f>
        <v>6822.5</v>
      </c>
      <c r="H698" s="23">
        <v>0</v>
      </c>
      <c r="I698" s="19">
        <v>0</v>
      </c>
      <c r="J698" s="23">
        <v>0</v>
      </c>
      <c r="K698" s="268"/>
      <c r="L698" s="261"/>
    </row>
    <row r="699" spans="1:12" ht="16.5" x14ac:dyDescent="0.25">
      <c r="A699" s="343"/>
      <c r="B699" s="336"/>
      <c r="C699" s="211"/>
      <c r="D699" s="214">
        <v>2024</v>
      </c>
      <c r="E699" s="19">
        <f t="shared" si="22"/>
        <v>6727.1</v>
      </c>
      <c r="F699" s="23">
        <v>0</v>
      </c>
      <c r="G699" s="19">
        <f>6166.5+560.6</f>
        <v>6727.1</v>
      </c>
      <c r="H699" s="23">
        <v>0</v>
      </c>
      <c r="I699" s="19">
        <v>0</v>
      </c>
      <c r="J699" s="23">
        <v>0</v>
      </c>
      <c r="K699" s="268"/>
      <c r="L699" s="261"/>
    </row>
    <row r="700" spans="1:12" ht="16.5" x14ac:dyDescent="0.25">
      <c r="A700" s="343"/>
      <c r="B700" s="336"/>
      <c r="C700" s="211"/>
      <c r="D700" s="214">
        <v>2025</v>
      </c>
      <c r="E700" s="19">
        <f t="shared" si="22"/>
        <v>6727.1</v>
      </c>
      <c r="F700" s="23">
        <v>0</v>
      </c>
      <c r="G700" s="19">
        <v>6727.1</v>
      </c>
      <c r="H700" s="23">
        <v>0</v>
      </c>
      <c r="I700" s="19">
        <v>0</v>
      </c>
      <c r="J700" s="23">
        <v>0</v>
      </c>
      <c r="K700" s="268"/>
      <c r="L700" s="261"/>
    </row>
    <row r="701" spans="1:12" ht="17.25" thickBot="1" x14ac:dyDescent="0.3">
      <c r="A701" s="344"/>
      <c r="B701" s="337"/>
      <c r="C701" s="226"/>
      <c r="D701" s="118">
        <v>2026</v>
      </c>
      <c r="E701" s="22">
        <f t="shared" si="22"/>
        <v>8131.8</v>
      </c>
      <c r="F701" s="24">
        <v>0</v>
      </c>
      <c r="G701" s="22">
        <v>8131.8</v>
      </c>
      <c r="H701" s="24">
        <v>0</v>
      </c>
      <c r="I701" s="22">
        <v>0</v>
      </c>
      <c r="J701" s="24">
        <v>0</v>
      </c>
      <c r="K701" s="269"/>
      <c r="L701" s="262"/>
    </row>
    <row r="702" spans="1:12" ht="22.5" customHeight="1" x14ac:dyDescent="0.25">
      <c r="A702" s="342" t="s">
        <v>231</v>
      </c>
      <c r="B702" s="345" t="s">
        <v>223</v>
      </c>
      <c r="C702" s="212"/>
      <c r="D702" s="213">
        <v>2018</v>
      </c>
      <c r="E702" s="21">
        <f t="shared" si="22"/>
        <v>0</v>
      </c>
      <c r="F702" s="71">
        <v>0</v>
      </c>
      <c r="G702" s="21">
        <v>0</v>
      </c>
      <c r="H702" s="71">
        <v>0</v>
      </c>
      <c r="I702" s="21">
        <v>0</v>
      </c>
      <c r="J702" s="71">
        <v>0</v>
      </c>
      <c r="K702" s="267" t="s">
        <v>220</v>
      </c>
      <c r="L702" s="260" t="s">
        <v>38</v>
      </c>
    </row>
    <row r="703" spans="1:12" ht="22.5" customHeight="1" x14ac:dyDescent="0.25">
      <c r="A703" s="343"/>
      <c r="B703" s="346"/>
      <c r="C703" s="211"/>
      <c r="D703" s="214">
        <v>2019</v>
      </c>
      <c r="E703" s="19">
        <f t="shared" si="22"/>
        <v>0</v>
      </c>
      <c r="F703" s="23">
        <v>0</v>
      </c>
      <c r="G703" s="19">
        <v>0</v>
      </c>
      <c r="H703" s="23">
        <v>0</v>
      </c>
      <c r="I703" s="19">
        <v>0</v>
      </c>
      <c r="J703" s="23">
        <v>0</v>
      </c>
      <c r="K703" s="268"/>
      <c r="L703" s="261"/>
    </row>
    <row r="704" spans="1:12" ht="22.5" customHeight="1" x14ac:dyDescent="0.25">
      <c r="A704" s="343"/>
      <c r="B704" s="346"/>
      <c r="C704" s="211"/>
      <c r="D704" s="214">
        <v>2020</v>
      </c>
      <c r="E704" s="19">
        <f t="shared" si="22"/>
        <v>0</v>
      </c>
      <c r="F704" s="23">
        <v>0</v>
      </c>
      <c r="G704" s="19">
        <v>0</v>
      </c>
      <c r="H704" s="23">
        <v>0</v>
      </c>
      <c r="I704" s="19">
        <v>0</v>
      </c>
      <c r="J704" s="23">
        <v>0</v>
      </c>
      <c r="K704" s="268"/>
      <c r="L704" s="261"/>
    </row>
    <row r="705" spans="1:12" ht="22.5" customHeight="1" x14ac:dyDescent="0.25">
      <c r="A705" s="343"/>
      <c r="B705" s="346"/>
      <c r="C705" s="211"/>
      <c r="D705" s="214">
        <v>2021</v>
      </c>
      <c r="E705" s="19">
        <f t="shared" si="22"/>
        <v>0</v>
      </c>
      <c r="F705" s="23">
        <v>0</v>
      </c>
      <c r="G705" s="19">
        <v>0</v>
      </c>
      <c r="H705" s="23">
        <v>0</v>
      </c>
      <c r="I705" s="19">
        <v>0</v>
      </c>
      <c r="J705" s="23">
        <v>0</v>
      </c>
      <c r="K705" s="268"/>
      <c r="L705" s="261"/>
    </row>
    <row r="706" spans="1:12" ht="22.5" customHeight="1" x14ac:dyDescent="0.25">
      <c r="A706" s="343"/>
      <c r="B706" s="346"/>
      <c r="C706" s="211"/>
      <c r="D706" s="214">
        <v>2022</v>
      </c>
      <c r="E706" s="19">
        <f>F706+G706+H706+J706</f>
        <v>0</v>
      </c>
      <c r="F706" s="23">
        <v>0</v>
      </c>
      <c r="G706" s="19">
        <v>0</v>
      </c>
      <c r="H706" s="23">
        <v>0</v>
      </c>
      <c r="I706" s="19">
        <v>0</v>
      </c>
      <c r="J706" s="23">
        <v>0</v>
      </c>
      <c r="K706" s="268"/>
      <c r="L706" s="261"/>
    </row>
    <row r="707" spans="1:12" ht="22.5" customHeight="1" x14ac:dyDescent="0.25">
      <c r="A707" s="343"/>
      <c r="B707" s="346"/>
      <c r="C707" s="211"/>
      <c r="D707" s="214">
        <v>2023</v>
      </c>
      <c r="E707" s="19">
        <f t="shared" ref="E707:E714" si="23">F707+G707+H707+J707</f>
        <v>30641.8</v>
      </c>
      <c r="F707" s="23">
        <v>0</v>
      </c>
      <c r="G707" s="19">
        <f>27008.3+7617.9-5516.6</f>
        <v>29109.599999999999</v>
      </c>
      <c r="H707" s="46">
        <f>1822.6-290.4</f>
        <v>1532.1999999999998</v>
      </c>
      <c r="I707" s="19">
        <f>1822.6-290.4</f>
        <v>1532.1999999999998</v>
      </c>
      <c r="J707" s="23">
        <v>0</v>
      </c>
      <c r="K707" s="268"/>
      <c r="L707" s="261"/>
    </row>
    <row r="708" spans="1:12" ht="22.5" customHeight="1" x14ac:dyDescent="0.25">
      <c r="A708" s="343"/>
      <c r="B708" s="346"/>
      <c r="C708" s="211"/>
      <c r="D708" s="214">
        <v>2024</v>
      </c>
      <c r="E708" s="19">
        <f t="shared" si="23"/>
        <v>0</v>
      </c>
      <c r="F708" s="23">
        <v>0</v>
      </c>
      <c r="G708" s="19">
        <v>0</v>
      </c>
      <c r="H708" s="144">
        <v>0</v>
      </c>
      <c r="I708" s="19">
        <v>0</v>
      </c>
      <c r="J708" s="23">
        <v>0</v>
      </c>
      <c r="K708" s="268"/>
      <c r="L708" s="261"/>
    </row>
    <row r="709" spans="1:12" ht="22.5" customHeight="1" x14ac:dyDescent="0.25">
      <c r="A709" s="343"/>
      <c r="B709" s="346"/>
      <c r="C709" s="211"/>
      <c r="D709" s="214">
        <v>2025</v>
      </c>
      <c r="E709" s="19">
        <f t="shared" si="23"/>
        <v>0</v>
      </c>
      <c r="F709" s="23">
        <v>0</v>
      </c>
      <c r="G709" s="19">
        <v>0</v>
      </c>
      <c r="H709" s="144">
        <v>0</v>
      </c>
      <c r="I709" s="19">
        <v>0</v>
      </c>
      <c r="J709" s="23">
        <v>0</v>
      </c>
      <c r="K709" s="268"/>
      <c r="L709" s="261"/>
    </row>
    <row r="710" spans="1:12" ht="22.5" customHeight="1" thickBot="1" x14ac:dyDescent="0.3">
      <c r="A710" s="344"/>
      <c r="B710" s="347"/>
      <c r="C710" s="226"/>
      <c r="D710" s="118">
        <v>2026</v>
      </c>
      <c r="E710" s="22">
        <f t="shared" si="23"/>
        <v>0</v>
      </c>
      <c r="F710" s="24">
        <v>0</v>
      </c>
      <c r="G710" s="22">
        <v>0</v>
      </c>
      <c r="H710" s="145">
        <v>0</v>
      </c>
      <c r="I710" s="22">
        <v>0</v>
      </c>
      <c r="J710" s="24">
        <v>0</v>
      </c>
      <c r="K710" s="269"/>
      <c r="L710" s="262"/>
    </row>
    <row r="711" spans="1:12" ht="22.5" customHeight="1" x14ac:dyDescent="0.25">
      <c r="A711" s="342" t="s">
        <v>232</v>
      </c>
      <c r="B711" s="345" t="s">
        <v>236</v>
      </c>
      <c r="C711" s="212"/>
      <c r="D711" s="213">
        <v>2018</v>
      </c>
      <c r="E711" s="21">
        <f t="shared" si="23"/>
        <v>0</v>
      </c>
      <c r="F711" s="71">
        <v>0</v>
      </c>
      <c r="G711" s="21">
        <v>0</v>
      </c>
      <c r="H711" s="71">
        <v>0</v>
      </c>
      <c r="I711" s="21">
        <v>0</v>
      </c>
      <c r="J711" s="71">
        <v>0</v>
      </c>
      <c r="K711" s="267" t="s">
        <v>222</v>
      </c>
      <c r="L711" s="260" t="s">
        <v>38</v>
      </c>
    </row>
    <row r="712" spans="1:12" ht="22.5" customHeight="1" x14ac:dyDescent="0.25">
      <c r="A712" s="343"/>
      <c r="B712" s="346"/>
      <c r="C712" s="211"/>
      <c r="D712" s="214">
        <v>2019</v>
      </c>
      <c r="E712" s="19">
        <f t="shared" si="23"/>
        <v>0</v>
      </c>
      <c r="F712" s="23">
        <v>0</v>
      </c>
      <c r="G712" s="19">
        <v>0</v>
      </c>
      <c r="H712" s="23">
        <v>0</v>
      </c>
      <c r="I712" s="19">
        <v>0</v>
      </c>
      <c r="J712" s="23">
        <v>0</v>
      </c>
      <c r="K712" s="268"/>
      <c r="L712" s="261"/>
    </row>
    <row r="713" spans="1:12" ht="22.5" customHeight="1" x14ac:dyDescent="0.25">
      <c r="A713" s="343"/>
      <c r="B713" s="346"/>
      <c r="C713" s="211"/>
      <c r="D713" s="214">
        <v>2020</v>
      </c>
      <c r="E713" s="19">
        <f t="shared" si="23"/>
        <v>0</v>
      </c>
      <c r="F713" s="23">
        <v>0</v>
      </c>
      <c r="G713" s="19">
        <v>0</v>
      </c>
      <c r="H713" s="23">
        <v>0</v>
      </c>
      <c r="I713" s="19">
        <v>0</v>
      </c>
      <c r="J713" s="23">
        <v>0</v>
      </c>
      <c r="K713" s="268"/>
      <c r="L713" s="261"/>
    </row>
    <row r="714" spans="1:12" ht="22.5" customHeight="1" x14ac:dyDescent="0.25">
      <c r="A714" s="343"/>
      <c r="B714" s="346"/>
      <c r="C714" s="211"/>
      <c r="D714" s="214">
        <v>2021</v>
      </c>
      <c r="E714" s="19">
        <f t="shared" si="23"/>
        <v>0</v>
      </c>
      <c r="F714" s="23">
        <v>0</v>
      </c>
      <c r="G714" s="19">
        <v>0</v>
      </c>
      <c r="H714" s="23">
        <v>0</v>
      </c>
      <c r="I714" s="19">
        <v>0</v>
      </c>
      <c r="J714" s="23">
        <v>0</v>
      </c>
      <c r="K714" s="268"/>
      <c r="L714" s="261"/>
    </row>
    <row r="715" spans="1:12" ht="22.5" customHeight="1" x14ac:dyDescent="0.25">
      <c r="A715" s="343"/>
      <c r="B715" s="346"/>
      <c r="C715" s="211"/>
      <c r="D715" s="214">
        <v>2022</v>
      </c>
      <c r="E715" s="19">
        <f>F715+G715+H715+J715</f>
        <v>0</v>
      </c>
      <c r="F715" s="23">
        <v>0</v>
      </c>
      <c r="G715" s="19">
        <v>0</v>
      </c>
      <c r="H715" s="23">
        <v>0</v>
      </c>
      <c r="I715" s="19">
        <v>0</v>
      </c>
      <c r="J715" s="23">
        <v>0</v>
      </c>
      <c r="K715" s="268"/>
      <c r="L715" s="261"/>
    </row>
    <row r="716" spans="1:12" ht="22.5" customHeight="1" x14ac:dyDescent="0.25">
      <c r="A716" s="343"/>
      <c r="B716" s="346"/>
      <c r="C716" s="211"/>
      <c r="D716" s="214">
        <v>2023</v>
      </c>
      <c r="E716" s="19">
        <f t="shared" ref="E716:E723" si="24">F716+G716+H716+J716</f>
        <v>197.6</v>
      </c>
      <c r="F716" s="23">
        <v>0</v>
      </c>
      <c r="G716" s="19">
        <f>468.8-281.1</f>
        <v>187.7</v>
      </c>
      <c r="H716" s="46">
        <f>24.7-14.8</f>
        <v>9.8999999999999986</v>
      </c>
      <c r="I716" s="19">
        <f>24.7-14.8</f>
        <v>9.8999999999999986</v>
      </c>
      <c r="J716" s="23">
        <v>0</v>
      </c>
      <c r="K716" s="268"/>
      <c r="L716" s="261"/>
    </row>
    <row r="717" spans="1:12" ht="22.5" customHeight="1" x14ac:dyDescent="0.25">
      <c r="A717" s="343"/>
      <c r="B717" s="346"/>
      <c r="C717" s="211"/>
      <c r="D717" s="214">
        <v>2024</v>
      </c>
      <c r="E717" s="19">
        <f t="shared" si="24"/>
        <v>1041.0999999999999</v>
      </c>
      <c r="F717" s="23">
        <v>0</v>
      </c>
      <c r="G717" s="138">
        <v>989</v>
      </c>
      <c r="H717" s="179">
        <f>I717</f>
        <v>52.1</v>
      </c>
      <c r="I717" s="138">
        <v>52.1</v>
      </c>
      <c r="J717" s="23">
        <v>0</v>
      </c>
      <c r="K717" s="268"/>
      <c r="L717" s="261"/>
    </row>
    <row r="718" spans="1:12" ht="22.5" customHeight="1" x14ac:dyDescent="0.25">
      <c r="A718" s="343"/>
      <c r="B718" s="346"/>
      <c r="C718" s="211"/>
      <c r="D718" s="214">
        <v>2025</v>
      </c>
      <c r="E718" s="19">
        <f t="shared" si="24"/>
        <v>0</v>
      </c>
      <c r="F718" s="46">
        <v>0</v>
      </c>
      <c r="G718" s="138">
        <v>0</v>
      </c>
      <c r="H718" s="141">
        <v>0</v>
      </c>
      <c r="I718" s="138">
        <v>0</v>
      </c>
      <c r="J718" s="46">
        <v>0</v>
      </c>
      <c r="K718" s="268"/>
      <c r="L718" s="261"/>
    </row>
    <row r="719" spans="1:12" ht="22.5" customHeight="1" thickBot="1" x14ac:dyDescent="0.3">
      <c r="A719" s="344"/>
      <c r="B719" s="347"/>
      <c r="C719" s="226"/>
      <c r="D719" s="118">
        <v>2026</v>
      </c>
      <c r="E719" s="22">
        <f t="shared" si="24"/>
        <v>0</v>
      </c>
      <c r="F719" s="67">
        <v>0</v>
      </c>
      <c r="G719" s="139">
        <v>0</v>
      </c>
      <c r="H719" s="142">
        <v>0</v>
      </c>
      <c r="I719" s="139">
        <v>0</v>
      </c>
      <c r="J719" s="67">
        <v>0</v>
      </c>
      <c r="K719" s="269"/>
      <c r="L719" s="262"/>
    </row>
    <row r="720" spans="1:12" ht="16.5" x14ac:dyDescent="0.25">
      <c r="A720" s="342" t="s">
        <v>233</v>
      </c>
      <c r="B720" s="345" t="s">
        <v>234</v>
      </c>
      <c r="C720" s="212"/>
      <c r="D720" s="213">
        <v>2018</v>
      </c>
      <c r="E720" s="21">
        <f t="shared" si="24"/>
        <v>0</v>
      </c>
      <c r="F720" s="71">
        <v>0</v>
      </c>
      <c r="G720" s="21">
        <v>0</v>
      </c>
      <c r="H720" s="71">
        <v>0</v>
      </c>
      <c r="I720" s="21">
        <v>0</v>
      </c>
      <c r="J720" s="71">
        <v>0</v>
      </c>
      <c r="K720" s="267" t="s">
        <v>235</v>
      </c>
      <c r="L720" s="260" t="s">
        <v>38</v>
      </c>
    </row>
    <row r="721" spans="1:12" ht="16.5" x14ac:dyDescent="0.25">
      <c r="A721" s="343"/>
      <c r="B721" s="346"/>
      <c r="C721" s="211"/>
      <c r="D721" s="214">
        <v>2019</v>
      </c>
      <c r="E721" s="19">
        <f t="shared" si="24"/>
        <v>0</v>
      </c>
      <c r="F721" s="23">
        <v>0</v>
      </c>
      <c r="G721" s="19">
        <v>0</v>
      </c>
      <c r="H721" s="23">
        <v>0</v>
      </c>
      <c r="I721" s="19">
        <v>0</v>
      </c>
      <c r="J721" s="23">
        <v>0</v>
      </c>
      <c r="K721" s="268"/>
      <c r="L721" s="261"/>
    </row>
    <row r="722" spans="1:12" ht="16.5" x14ac:dyDescent="0.25">
      <c r="A722" s="343"/>
      <c r="B722" s="346"/>
      <c r="C722" s="211"/>
      <c r="D722" s="214">
        <v>2020</v>
      </c>
      <c r="E722" s="19">
        <f t="shared" si="24"/>
        <v>0</v>
      </c>
      <c r="F722" s="23">
        <v>0</v>
      </c>
      <c r="G722" s="19">
        <v>0</v>
      </c>
      <c r="H722" s="23">
        <v>0</v>
      </c>
      <c r="I722" s="19">
        <v>0</v>
      </c>
      <c r="J722" s="23">
        <v>0</v>
      </c>
      <c r="K722" s="268"/>
      <c r="L722" s="261"/>
    </row>
    <row r="723" spans="1:12" ht="16.5" x14ac:dyDescent="0.25">
      <c r="A723" s="343"/>
      <c r="B723" s="346"/>
      <c r="C723" s="211"/>
      <c r="D723" s="214">
        <v>2021</v>
      </c>
      <c r="E723" s="19">
        <f t="shared" si="24"/>
        <v>0</v>
      </c>
      <c r="F723" s="23">
        <v>0</v>
      </c>
      <c r="G723" s="19">
        <v>0</v>
      </c>
      <c r="H723" s="23">
        <v>0</v>
      </c>
      <c r="I723" s="19">
        <v>0</v>
      </c>
      <c r="J723" s="23">
        <v>0</v>
      </c>
      <c r="K723" s="268"/>
      <c r="L723" s="261"/>
    </row>
    <row r="724" spans="1:12" ht="16.5" x14ac:dyDescent="0.25">
      <c r="A724" s="343"/>
      <c r="B724" s="346"/>
      <c r="C724" s="211"/>
      <c r="D724" s="214">
        <v>2022</v>
      </c>
      <c r="E724" s="19">
        <f>F724+G724+H724+J724</f>
        <v>0</v>
      </c>
      <c r="F724" s="23">
        <v>0</v>
      </c>
      <c r="G724" s="19">
        <v>0</v>
      </c>
      <c r="H724" s="23">
        <v>0</v>
      </c>
      <c r="I724" s="19">
        <v>0</v>
      </c>
      <c r="J724" s="23">
        <v>0</v>
      </c>
      <c r="K724" s="268"/>
      <c r="L724" s="261"/>
    </row>
    <row r="725" spans="1:12" ht="16.5" x14ac:dyDescent="0.25">
      <c r="A725" s="343"/>
      <c r="B725" s="346"/>
      <c r="C725" s="211"/>
      <c r="D725" s="214">
        <v>2023</v>
      </c>
      <c r="E725" s="19">
        <f>F725+G725+H725+J725</f>
        <v>5865.7000000000007</v>
      </c>
      <c r="F725" s="23">
        <v>0</v>
      </c>
      <c r="G725" s="19">
        <v>0</v>
      </c>
      <c r="H725" s="46">
        <f>3526+1786.1+553.6</f>
        <v>5865.7000000000007</v>
      </c>
      <c r="I725" s="19">
        <v>0</v>
      </c>
      <c r="J725" s="23">
        <v>0</v>
      </c>
      <c r="K725" s="268"/>
      <c r="L725" s="261"/>
    </row>
    <row r="726" spans="1:12" ht="16.5" x14ac:dyDescent="0.25">
      <c r="A726" s="343"/>
      <c r="B726" s="346"/>
      <c r="C726" s="211"/>
      <c r="D726" s="214">
        <v>2024</v>
      </c>
      <c r="E726" s="19">
        <f t="shared" ref="E726:E732" si="25">F726+G726+H726+J726</f>
        <v>0</v>
      </c>
      <c r="F726" s="23">
        <v>0</v>
      </c>
      <c r="G726" s="19">
        <v>0</v>
      </c>
      <c r="H726" s="46">
        <v>0</v>
      </c>
      <c r="I726" s="19">
        <v>0</v>
      </c>
      <c r="J726" s="23">
        <v>0</v>
      </c>
      <c r="K726" s="268"/>
      <c r="L726" s="261"/>
    </row>
    <row r="727" spans="1:12" ht="16.5" x14ac:dyDescent="0.25">
      <c r="A727" s="343"/>
      <c r="B727" s="346"/>
      <c r="C727" s="211"/>
      <c r="D727" s="214">
        <v>2025</v>
      </c>
      <c r="E727" s="19">
        <f t="shared" si="25"/>
        <v>0</v>
      </c>
      <c r="F727" s="46">
        <v>0</v>
      </c>
      <c r="G727" s="19">
        <v>0</v>
      </c>
      <c r="H727" s="46">
        <v>0</v>
      </c>
      <c r="I727" s="19">
        <v>0</v>
      </c>
      <c r="J727" s="46">
        <v>0</v>
      </c>
      <c r="K727" s="268"/>
      <c r="L727" s="261"/>
    </row>
    <row r="728" spans="1:12" ht="17.25" thickBot="1" x14ac:dyDescent="0.3">
      <c r="A728" s="344"/>
      <c r="B728" s="347"/>
      <c r="C728" s="226"/>
      <c r="D728" s="118">
        <v>2026</v>
      </c>
      <c r="E728" s="22">
        <f t="shared" si="25"/>
        <v>0</v>
      </c>
      <c r="F728" s="67">
        <v>0</v>
      </c>
      <c r="G728" s="22">
        <v>0</v>
      </c>
      <c r="H728" s="67">
        <v>0</v>
      </c>
      <c r="I728" s="22">
        <v>0</v>
      </c>
      <c r="J728" s="67">
        <v>0</v>
      </c>
      <c r="K728" s="269"/>
      <c r="L728" s="262"/>
    </row>
    <row r="729" spans="1:12" ht="16.5" x14ac:dyDescent="0.25">
      <c r="A729" s="342" t="s">
        <v>315</v>
      </c>
      <c r="B729" s="345" t="s">
        <v>319</v>
      </c>
      <c r="C729" s="212"/>
      <c r="D729" s="213">
        <v>2018</v>
      </c>
      <c r="E729" s="21">
        <f t="shared" si="25"/>
        <v>0</v>
      </c>
      <c r="F729" s="71">
        <v>0</v>
      </c>
      <c r="G729" s="21">
        <v>0</v>
      </c>
      <c r="H729" s="71">
        <v>0</v>
      </c>
      <c r="I729" s="21">
        <v>0</v>
      </c>
      <c r="J729" s="71">
        <v>0</v>
      </c>
      <c r="K729" s="267" t="s">
        <v>316</v>
      </c>
      <c r="L729" s="260" t="s">
        <v>38</v>
      </c>
    </row>
    <row r="730" spans="1:12" ht="16.5" x14ac:dyDescent="0.25">
      <c r="A730" s="343"/>
      <c r="B730" s="346"/>
      <c r="C730" s="211"/>
      <c r="D730" s="214">
        <v>2019</v>
      </c>
      <c r="E730" s="19">
        <f t="shared" si="25"/>
        <v>0</v>
      </c>
      <c r="F730" s="23">
        <v>0</v>
      </c>
      <c r="G730" s="19">
        <v>0</v>
      </c>
      <c r="H730" s="23">
        <v>0</v>
      </c>
      <c r="I730" s="19">
        <v>0</v>
      </c>
      <c r="J730" s="23">
        <v>0</v>
      </c>
      <c r="K730" s="268"/>
      <c r="L730" s="261"/>
    </row>
    <row r="731" spans="1:12" ht="16.5" x14ac:dyDescent="0.25">
      <c r="A731" s="343"/>
      <c r="B731" s="346"/>
      <c r="C731" s="211"/>
      <c r="D731" s="214">
        <v>2020</v>
      </c>
      <c r="E731" s="19">
        <f t="shared" si="25"/>
        <v>0</v>
      </c>
      <c r="F731" s="23">
        <v>0</v>
      </c>
      <c r="G731" s="19">
        <v>0</v>
      </c>
      <c r="H731" s="23">
        <v>0</v>
      </c>
      <c r="I731" s="19">
        <v>0</v>
      </c>
      <c r="J731" s="23">
        <v>0</v>
      </c>
      <c r="K731" s="268"/>
      <c r="L731" s="261"/>
    </row>
    <row r="732" spans="1:12" ht="16.5" x14ac:dyDescent="0.25">
      <c r="A732" s="343"/>
      <c r="B732" s="346"/>
      <c r="C732" s="211"/>
      <c r="D732" s="214">
        <v>2021</v>
      </c>
      <c r="E732" s="19">
        <f t="shared" si="25"/>
        <v>0</v>
      </c>
      <c r="F732" s="23">
        <v>0</v>
      </c>
      <c r="G732" s="19">
        <v>0</v>
      </c>
      <c r="H732" s="23">
        <v>0</v>
      </c>
      <c r="I732" s="19">
        <v>0</v>
      </c>
      <c r="J732" s="23">
        <v>0</v>
      </c>
      <c r="K732" s="268"/>
      <c r="L732" s="261"/>
    </row>
    <row r="733" spans="1:12" ht="16.5" x14ac:dyDescent="0.25">
      <c r="A733" s="343"/>
      <c r="B733" s="346"/>
      <c r="C733" s="211"/>
      <c r="D733" s="214">
        <v>2022</v>
      </c>
      <c r="E733" s="19">
        <f>F733+G733+H733+J733</f>
        <v>0</v>
      </c>
      <c r="F733" s="23">
        <v>0</v>
      </c>
      <c r="G733" s="19">
        <v>0</v>
      </c>
      <c r="H733" s="23">
        <v>0</v>
      </c>
      <c r="I733" s="19">
        <v>0</v>
      </c>
      <c r="J733" s="23">
        <v>0</v>
      </c>
      <c r="K733" s="268"/>
      <c r="L733" s="261"/>
    </row>
    <row r="734" spans="1:12" ht="16.5" x14ac:dyDescent="0.25">
      <c r="A734" s="343"/>
      <c r="B734" s="346"/>
      <c r="C734" s="211"/>
      <c r="D734" s="214">
        <v>2023</v>
      </c>
      <c r="E734" s="19">
        <f>F734+G734+H734+J734</f>
        <v>3300.2</v>
      </c>
      <c r="F734" s="23">
        <v>0</v>
      </c>
      <c r="G734" s="19">
        <v>0</v>
      </c>
      <c r="H734" s="46">
        <v>3300.2</v>
      </c>
      <c r="I734" s="19">
        <v>0</v>
      </c>
      <c r="J734" s="23">
        <v>0</v>
      </c>
      <c r="K734" s="268"/>
      <c r="L734" s="261"/>
    </row>
    <row r="735" spans="1:12" ht="16.5" x14ac:dyDescent="0.25">
      <c r="A735" s="343"/>
      <c r="B735" s="346"/>
      <c r="C735" s="211"/>
      <c r="D735" s="214">
        <v>2024</v>
      </c>
      <c r="E735" s="19">
        <f t="shared" ref="E735:E736" si="26">F735+G735+H735+J735</f>
        <v>0</v>
      </c>
      <c r="F735" s="23">
        <v>0</v>
      </c>
      <c r="G735" s="19">
        <v>0</v>
      </c>
      <c r="H735" s="46">
        <v>0</v>
      </c>
      <c r="I735" s="19">
        <v>0</v>
      </c>
      <c r="J735" s="23">
        <v>0</v>
      </c>
      <c r="K735" s="268"/>
      <c r="L735" s="261"/>
    </row>
    <row r="736" spans="1:12" ht="16.5" x14ac:dyDescent="0.25">
      <c r="A736" s="343"/>
      <c r="B736" s="346"/>
      <c r="C736" s="211"/>
      <c r="D736" s="214">
        <v>2025</v>
      </c>
      <c r="E736" s="19">
        <f t="shared" si="26"/>
        <v>0</v>
      </c>
      <c r="F736" s="46">
        <v>0</v>
      </c>
      <c r="G736" s="19">
        <v>0</v>
      </c>
      <c r="H736" s="46">
        <v>0</v>
      </c>
      <c r="I736" s="19">
        <v>0</v>
      </c>
      <c r="J736" s="46">
        <v>0</v>
      </c>
      <c r="K736" s="268"/>
      <c r="L736" s="261"/>
    </row>
    <row r="737" spans="1:12" ht="17.25" thickBot="1" x14ac:dyDescent="0.3">
      <c r="A737" s="344"/>
      <c r="B737" s="347"/>
      <c r="C737" s="226"/>
      <c r="D737" s="118">
        <v>2026</v>
      </c>
      <c r="E737" s="22">
        <f>F737+G737+H737+J737</f>
        <v>0</v>
      </c>
      <c r="F737" s="67">
        <v>0</v>
      </c>
      <c r="G737" s="22">
        <v>0</v>
      </c>
      <c r="H737" s="67">
        <v>0</v>
      </c>
      <c r="I737" s="22">
        <v>0</v>
      </c>
      <c r="J737" s="67">
        <v>0</v>
      </c>
      <c r="K737" s="269"/>
      <c r="L737" s="262"/>
    </row>
    <row r="738" spans="1:12" s="162" customFormat="1" ht="17.25" thickBot="1" x14ac:dyDescent="0.3">
      <c r="A738" s="242" t="s">
        <v>313</v>
      </c>
      <c r="B738" s="243">
        <v>2</v>
      </c>
      <c r="C738" s="244"/>
      <c r="D738" s="245">
        <v>3</v>
      </c>
      <c r="E738" s="246">
        <v>4</v>
      </c>
      <c r="F738" s="247">
        <v>5</v>
      </c>
      <c r="G738" s="246">
        <v>6</v>
      </c>
      <c r="H738" s="247">
        <v>7</v>
      </c>
      <c r="I738" s="246">
        <v>8</v>
      </c>
      <c r="J738" s="247">
        <v>9</v>
      </c>
      <c r="K738" s="245">
        <v>10</v>
      </c>
      <c r="L738" s="248">
        <v>11</v>
      </c>
    </row>
    <row r="739" spans="1:12" ht="16.5" customHeight="1" x14ac:dyDescent="0.25">
      <c r="A739" s="376" t="s">
        <v>321</v>
      </c>
      <c r="B739" s="382" t="s">
        <v>325</v>
      </c>
      <c r="C739" s="212"/>
      <c r="D739" s="213">
        <v>2018</v>
      </c>
      <c r="E739" s="21">
        <f t="shared" ref="E739:E742" si="27">F739+G739+H739+J739</f>
        <v>0</v>
      </c>
      <c r="F739" s="71">
        <v>0</v>
      </c>
      <c r="G739" s="21">
        <v>0</v>
      </c>
      <c r="H739" s="71">
        <v>0</v>
      </c>
      <c r="I739" s="21">
        <v>0</v>
      </c>
      <c r="J739" s="71">
        <v>0</v>
      </c>
      <c r="K739" s="267" t="s">
        <v>324</v>
      </c>
      <c r="L739" s="260" t="s">
        <v>38</v>
      </c>
    </row>
    <row r="740" spans="1:12" ht="16.5" x14ac:dyDescent="0.25">
      <c r="A740" s="377"/>
      <c r="B740" s="383"/>
      <c r="C740" s="211"/>
      <c r="D740" s="214">
        <v>2019</v>
      </c>
      <c r="E740" s="19">
        <f t="shared" si="27"/>
        <v>0</v>
      </c>
      <c r="F740" s="23">
        <v>0</v>
      </c>
      <c r="G740" s="19">
        <v>0</v>
      </c>
      <c r="H740" s="23">
        <v>0</v>
      </c>
      <c r="I740" s="19">
        <v>0</v>
      </c>
      <c r="J740" s="23">
        <v>0</v>
      </c>
      <c r="K740" s="268"/>
      <c r="L740" s="261"/>
    </row>
    <row r="741" spans="1:12" ht="16.5" x14ac:dyDescent="0.25">
      <c r="A741" s="377"/>
      <c r="B741" s="383"/>
      <c r="C741" s="211"/>
      <c r="D741" s="214">
        <v>2020</v>
      </c>
      <c r="E741" s="19">
        <f t="shared" si="27"/>
        <v>0</v>
      </c>
      <c r="F741" s="23">
        <v>0</v>
      </c>
      <c r="G741" s="19">
        <v>0</v>
      </c>
      <c r="H741" s="23">
        <v>0</v>
      </c>
      <c r="I741" s="19">
        <v>0</v>
      </c>
      <c r="J741" s="23">
        <v>0</v>
      </c>
      <c r="K741" s="268"/>
      <c r="L741" s="261"/>
    </row>
    <row r="742" spans="1:12" ht="16.5" x14ac:dyDescent="0.25">
      <c r="A742" s="377"/>
      <c r="B742" s="383"/>
      <c r="C742" s="211"/>
      <c r="D742" s="214">
        <v>2021</v>
      </c>
      <c r="E742" s="19">
        <f t="shared" si="27"/>
        <v>0</v>
      </c>
      <c r="F742" s="23">
        <v>0</v>
      </c>
      <c r="G742" s="19">
        <v>0</v>
      </c>
      <c r="H742" s="23">
        <v>0</v>
      </c>
      <c r="I742" s="19">
        <v>0</v>
      </c>
      <c r="J742" s="23">
        <v>0</v>
      </c>
      <c r="K742" s="268"/>
      <c r="L742" s="261"/>
    </row>
    <row r="743" spans="1:12" ht="16.5" x14ac:dyDescent="0.25">
      <c r="A743" s="377"/>
      <c r="B743" s="383"/>
      <c r="C743" s="211"/>
      <c r="D743" s="214">
        <v>2022</v>
      </c>
      <c r="E743" s="19">
        <f>F743+G743+H743+J743</f>
        <v>0</v>
      </c>
      <c r="F743" s="23">
        <v>0</v>
      </c>
      <c r="G743" s="19">
        <v>0</v>
      </c>
      <c r="H743" s="23">
        <v>0</v>
      </c>
      <c r="I743" s="19">
        <v>0</v>
      </c>
      <c r="J743" s="23">
        <v>0</v>
      </c>
      <c r="K743" s="268"/>
      <c r="L743" s="261"/>
    </row>
    <row r="744" spans="1:12" ht="16.5" x14ac:dyDescent="0.25">
      <c r="A744" s="377"/>
      <c r="B744" s="383"/>
      <c r="C744" s="211"/>
      <c r="D744" s="214">
        <v>2023</v>
      </c>
      <c r="E744" s="19">
        <f>F744+G744+H744+J744</f>
        <v>0</v>
      </c>
      <c r="F744" s="23">
        <v>0</v>
      </c>
      <c r="G744" s="19">
        <v>0</v>
      </c>
      <c r="H744" s="46">
        <v>0</v>
      </c>
      <c r="I744" s="19">
        <v>0</v>
      </c>
      <c r="J744" s="23">
        <v>0</v>
      </c>
      <c r="K744" s="268"/>
      <c r="L744" s="261"/>
    </row>
    <row r="745" spans="1:12" ht="16.5" x14ac:dyDescent="0.25">
      <c r="A745" s="377"/>
      <c r="B745" s="383"/>
      <c r="C745" s="211"/>
      <c r="D745" s="214">
        <v>2024</v>
      </c>
      <c r="E745" s="19">
        <f t="shared" ref="E745:E746" si="28">F745+G745+H745+J745</f>
        <v>0</v>
      </c>
      <c r="F745" s="23">
        <v>0</v>
      </c>
      <c r="G745" s="19">
        <v>0</v>
      </c>
      <c r="H745" s="141">
        <v>0</v>
      </c>
      <c r="I745" s="138">
        <v>0</v>
      </c>
      <c r="J745" s="23">
        <v>0</v>
      </c>
      <c r="K745" s="268"/>
      <c r="L745" s="261"/>
    </row>
    <row r="746" spans="1:12" ht="16.5" x14ac:dyDescent="0.25">
      <c r="A746" s="377"/>
      <c r="B746" s="383"/>
      <c r="C746" s="211"/>
      <c r="D746" s="214">
        <v>2025</v>
      </c>
      <c r="E746" s="19">
        <f t="shared" si="28"/>
        <v>0</v>
      </c>
      <c r="F746" s="46">
        <v>0</v>
      </c>
      <c r="G746" s="19">
        <v>0</v>
      </c>
      <c r="H746" s="46">
        <v>0</v>
      </c>
      <c r="I746" s="19">
        <v>0</v>
      </c>
      <c r="J746" s="46">
        <v>0</v>
      </c>
      <c r="K746" s="268"/>
      <c r="L746" s="261"/>
    </row>
    <row r="747" spans="1:12" ht="17.25" thickBot="1" x14ac:dyDescent="0.3">
      <c r="A747" s="378"/>
      <c r="B747" s="384"/>
      <c r="C747" s="226"/>
      <c r="D747" s="118">
        <v>2026</v>
      </c>
      <c r="E747" s="22">
        <f>F747+G747+H747+J747</f>
        <v>0</v>
      </c>
      <c r="F747" s="67">
        <v>0</v>
      </c>
      <c r="G747" s="22">
        <v>0</v>
      </c>
      <c r="H747" s="67">
        <v>0</v>
      </c>
      <c r="I747" s="22">
        <v>0</v>
      </c>
      <c r="J747" s="67">
        <v>0</v>
      </c>
      <c r="K747" s="269"/>
      <c r="L747" s="262"/>
    </row>
    <row r="748" spans="1:12" ht="16.5" customHeight="1" x14ac:dyDescent="0.25">
      <c r="A748" s="376" t="s">
        <v>327</v>
      </c>
      <c r="B748" s="382" t="s">
        <v>329</v>
      </c>
      <c r="C748" s="212"/>
      <c r="D748" s="213">
        <v>2018</v>
      </c>
      <c r="E748" s="21">
        <f t="shared" ref="E748:E751" si="29">F748+G748+H748+J748</f>
        <v>0</v>
      </c>
      <c r="F748" s="71">
        <v>0</v>
      </c>
      <c r="G748" s="21">
        <v>0</v>
      </c>
      <c r="H748" s="71">
        <v>0</v>
      </c>
      <c r="I748" s="21">
        <v>0</v>
      </c>
      <c r="J748" s="71">
        <v>0</v>
      </c>
      <c r="K748" s="267" t="s">
        <v>324</v>
      </c>
      <c r="L748" s="260" t="s">
        <v>38</v>
      </c>
    </row>
    <row r="749" spans="1:12" ht="16.5" x14ac:dyDescent="0.25">
      <c r="A749" s="377"/>
      <c r="B749" s="383"/>
      <c r="C749" s="211"/>
      <c r="D749" s="214">
        <v>2019</v>
      </c>
      <c r="E749" s="19">
        <f t="shared" si="29"/>
        <v>0</v>
      </c>
      <c r="F749" s="23">
        <v>0</v>
      </c>
      <c r="G749" s="19">
        <v>0</v>
      </c>
      <c r="H749" s="23">
        <v>0</v>
      </c>
      <c r="I749" s="19">
        <v>0</v>
      </c>
      <c r="J749" s="23">
        <v>0</v>
      </c>
      <c r="K749" s="268"/>
      <c r="L749" s="261"/>
    </row>
    <row r="750" spans="1:12" ht="16.5" x14ac:dyDescent="0.25">
      <c r="A750" s="377"/>
      <c r="B750" s="383"/>
      <c r="C750" s="211"/>
      <c r="D750" s="214">
        <v>2020</v>
      </c>
      <c r="E750" s="19">
        <f t="shared" si="29"/>
        <v>0</v>
      </c>
      <c r="F750" s="23">
        <v>0</v>
      </c>
      <c r="G750" s="19">
        <v>0</v>
      </c>
      <c r="H750" s="23">
        <v>0</v>
      </c>
      <c r="I750" s="19">
        <v>0</v>
      </c>
      <c r="J750" s="23">
        <v>0</v>
      </c>
      <c r="K750" s="268"/>
      <c r="L750" s="261"/>
    </row>
    <row r="751" spans="1:12" ht="16.5" x14ac:dyDescent="0.25">
      <c r="A751" s="377"/>
      <c r="B751" s="383"/>
      <c r="C751" s="211"/>
      <c r="D751" s="214">
        <v>2021</v>
      </c>
      <c r="E751" s="19">
        <f t="shared" si="29"/>
        <v>0</v>
      </c>
      <c r="F751" s="23">
        <v>0</v>
      </c>
      <c r="G751" s="19">
        <v>0</v>
      </c>
      <c r="H751" s="23">
        <v>0</v>
      </c>
      <c r="I751" s="19">
        <v>0</v>
      </c>
      <c r="J751" s="23">
        <v>0</v>
      </c>
      <c r="K751" s="268"/>
      <c r="L751" s="261"/>
    </row>
    <row r="752" spans="1:12" ht="16.5" x14ac:dyDescent="0.25">
      <c r="A752" s="377"/>
      <c r="B752" s="383"/>
      <c r="C752" s="211"/>
      <c r="D752" s="214">
        <v>2022</v>
      </c>
      <c r="E752" s="19">
        <f>F752+G752+H752+J752</f>
        <v>0</v>
      </c>
      <c r="F752" s="23">
        <v>0</v>
      </c>
      <c r="G752" s="19">
        <v>0</v>
      </c>
      <c r="H752" s="23">
        <v>0</v>
      </c>
      <c r="I752" s="19">
        <v>0</v>
      </c>
      <c r="J752" s="23">
        <v>0</v>
      </c>
      <c r="K752" s="268"/>
      <c r="L752" s="261"/>
    </row>
    <row r="753" spans="1:14" ht="16.5" x14ac:dyDescent="0.25">
      <c r="A753" s="377"/>
      <c r="B753" s="383"/>
      <c r="C753" s="211"/>
      <c r="D753" s="214">
        <v>2023</v>
      </c>
      <c r="E753" s="19">
        <f>F753+G753+H753+J753</f>
        <v>240</v>
      </c>
      <c r="F753" s="23">
        <v>0</v>
      </c>
      <c r="G753" s="19">
        <v>0</v>
      </c>
      <c r="H753" s="46">
        <f>150+90</f>
        <v>240</v>
      </c>
      <c r="I753" s="19">
        <v>0</v>
      </c>
      <c r="J753" s="23">
        <v>0</v>
      </c>
      <c r="K753" s="268"/>
      <c r="L753" s="261"/>
    </row>
    <row r="754" spans="1:14" ht="16.5" x14ac:dyDescent="0.25">
      <c r="A754" s="377"/>
      <c r="B754" s="383"/>
      <c r="C754" s="211"/>
      <c r="D754" s="214">
        <v>2024</v>
      </c>
      <c r="E754" s="19">
        <f t="shared" ref="E754:E755" si="30">F754+G754+H754+J754</f>
        <v>0</v>
      </c>
      <c r="F754" s="23">
        <v>0</v>
      </c>
      <c r="G754" s="19">
        <v>0</v>
      </c>
      <c r="H754" s="141">
        <v>0</v>
      </c>
      <c r="I754" s="138">
        <v>0</v>
      </c>
      <c r="J754" s="23">
        <v>0</v>
      </c>
      <c r="K754" s="268"/>
      <c r="L754" s="261"/>
    </row>
    <row r="755" spans="1:14" ht="16.5" x14ac:dyDescent="0.25">
      <c r="A755" s="377"/>
      <c r="B755" s="383"/>
      <c r="C755" s="211"/>
      <c r="D755" s="214">
        <v>2025</v>
      </c>
      <c r="E755" s="19">
        <f t="shared" si="30"/>
        <v>0</v>
      </c>
      <c r="F755" s="46">
        <v>0</v>
      </c>
      <c r="G755" s="19">
        <v>0</v>
      </c>
      <c r="H755" s="46">
        <v>0</v>
      </c>
      <c r="I755" s="19">
        <v>0</v>
      </c>
      <c r="J755" s="46">
        <v>0</v>
      </c>
      <c r="K755" s="268"/>
      <c r="L755" s="261"/>
    </row>
    <row r="756" spans="1:14" ht="17.25" thickBot="1" x14ac:dyDescent="0.3">
      <c r="A756" s="378"/>
      <c r="B756" s="384"/>
      <c r="C756" s="226"/>
      <c r="D756" s="118">
        <v>2026</v>
      </c>
      <c r="E756" s="22">
        <f>F756+G756+H756+J756</f>
        <v>0</v>
      </c>
      <c r="F756" s="67">
        <v>0</v>
      </c>
      <c r="G756" s="22">
        <v>0</v>
      </c>
      <c r="H756" s="67">
        <v>0</v>
      </c>
      <c r="I756" s="22">
        <v>0</v>
      </c>
      <c r="J756" s="67">
        <v>0</v>
      </c>
      <c r="K756" s="269"/>
      <c r="L756" s="262"/>
    </row>
    <row r="757" spans="1:14" ht="16.5" x14ac:dyDescent="0.25">
      <c r="A757" s="376" t="s">
        <v>328</v>
      </c>
      <c r="B757" s="379" t="s">
        <v>330</v>
      </c>
      <c r="C757" s="224"/>
      <c r="D757" s="213">
        <v>2018</v>
      </c>
      <c r="E757" s="21">
        <f t="shared" ref="E757:E760" si="31">F757+G757+H757+J757</f>
        <v>0</v>
      </c>
      <c r="F757" s="71">
        <v>0</v>
      </c>
      <c r="G757" s="21">
        <v>0</v>
      </c>
      <c r="H757" s="71">
        <v>0</v>
      </c>
      <c r="I757" s="21">
        <v>0</v>
      </c>
      <c r="J757" s="71">
        <v>0</v>
      </c>
      <c r="K757" s="267" t="s">
        <v>331</v>
      </c>
      <c r="L757" s="260" t="s">
        <v>38</v>
      </c>
    </row>
    <row r="758" spans="1:14" ht="16.5" x14ac:dyDescent="0.25">
      <c r="A758" s="377"/>
      <c r="B758" s="380"/>
      <c r="C758" s="222"/>
      <c r="D758" s="214">
        <v>2019</v>
      </c>
      <c r="E758" s="19">
        <f t="shared" si="31"/>
        <v>0</v>
      </c>
      <c r="F758" s="23">
        <v>0</v>
      </c>
      <c r="G758" s="19">
        <v>0</v>
      </c>
      <c r="H758" s="23">
        <v>0</v>
      </c>
      <c r="I758" s="19">
        <v>0</v>
      </c>
      <c r="J758" s="23">
        <v>0</v>
      </c>
      <c r="K758" s="268"/>
      <c r="L758" s="261"/>
    </row>
    <row r="759" spans="1:14" ht="16.5" x14ac:dyDescent="0.25">
      <c r="A759" s="377"/>
      <c r="B759" s="380"/>
      <c r="C759" s="222"/>
      <c r="D759" s="214">
        <v>2020</v>
      </c>
      <c r="E759" s="19">
        <f t="shared" si="31"/>
        <v>0</v>
      </c>
      <c r="F759" s="23">
        <v>0</v>
      </c>
      <c r="G759" s="19">
        <v>0</v>
      </c>
      <c r="H759" s="23">
        <v>0</v>
      </c>
      <c r="I759" s="19">
        <v>0</v>
      </c>
      <c r="J759" s="23">
        <v>0</v>
      </c>
      <c r="K759" s="268"/>
      <c r="L759" s="261"/>
    </row>
    <row r="760" spans="1:14" ht="16.5" x14ac:dyDescent="0.25">
      <c r="A760" s="377"/>
      <c r="B760" s="380"/>
      <c r="C760" s="222"/>
      <c r="D760" s="214">
        <v>2021</v>
      </c>
      <c r="E760" s="19">
        <f t="shared" si="31"/>
        <v>0</v>
      </c>
      <c r="F760" s="23">
        <v>0</v>
      </c>
      <c r="G760" s="19">
        <v>0</v>
      </c>
      <c r="H760" s="23">
        <v>0</v>
      </c>
      <c r="I760" s="19">
        <v>0</v>
      </c>
      <c r="J760" s="23">
        <v>0</v>
      </c>
      <c r="K760" s="268"/>
      <c r="L760" s="261"/>
    </row>
    <row r="761" spans="1:14" ht="16.5" x14ac:dyDescent="0.25">
      <c r="A761" s="377"/>
      <c r="B761" s="380"/>
      <c r="C761" s="222"/>
      <c r="D761" s="214">
        <v>2022</v>
      </c>
      <c r="E761" s="19">
        <f>F761+G761+H761+J761</f>
        <v>0</v>
      </c>
      <c r="F761" s="23">
        <v>0</v>
      </c>
      <c r="G761" s="19">
        <v>0</v>
      </c>
      <c r="H761" s="23">
        <v>0</v>
      </c>
      <c r="I761" s="19">
        <v>0</v>
      </c>
      <c r="J761" s="23">
        <v>0</v>
      </c>
      <c r="K761" s="268"/>
      <c r="L761" s="261"/>
    </row>
    <row r="762" spans="1:14" ht="16.5" x14ac:dyDescent="0.25">
      <c r="A762" s="377"/>
      <c r="B762" s="380"/>
      <c r="C762" s="222"/>
      <c r="D762" s="214">
        <v>2023</v>
      </c>
      <c r="E762" s="19">
        <f>F762+G762+H762+J762</f>
        <v>50</v>
      </c>
      <c r="F762" s="23">
        <v>0</v>
      </c>
      <c r="G762" s="19">
        <v>0</v>
      </c>
      <c r="H762" s="46">
        <f>182.9-132.9</f>
        <v>50</v>
      </c>
      <c r="I762" s="19">
        <v>0</v>
      </c>
      <c r="J762" s="23">
        <v>0</v>
      </c>
      <c r="K762" s="268"/>
      <c r="L762" s="261"/>
    </row>
    <row r="763" spans="1:14" ht="16.5" x14ac:dyDescent="0.25">
      <c r="A763" s="377"/>
      <c r="B763" s="380"/>
      <c r="C763" s="222"/>
      <c r="D763" s="214">
        <v>2024</v>
      </c>
      <c r="E763" s="19">
        <f t="shared" ref="E763:E764" si="32">F763+G763+H763+J763</f>
        <v>180</v>
      </c>
      <c r="F763" s="23">
        <v>0</v>
      </c>
      <c r="G763" s="19">
        <v>0</v>
      </c>
      <c r="H763" s="179">
        <v>180</v>
      </c>
      <c r="I763" s="138">
        <v>0</v>
      </c>
      <c r="J763" s="23">
        <v>0</v>
      </c>
      <c r="K763" s="268"/>
      <c r="L763" s="261"/>
      <c r="M763" s="29">
        <f>G717+G716+G707+G700+G699+G698+G697+G691+G690+G689+G688+G687+G681+G680+G679+G678+G630+G618+G617+G616+G615+G614+G613+G612+G574+G573+G546+G556+G542+G541+G539+G538+G527+G518+G512+G508+G476+G475+G474+G473+G472+G471+G433+G432+G431+G430+G429+G428+G427+G426+G393+G381+G380+G378+G377+G376+G375+G374+G373+G372+G371+G332+G331+G330+G329+G328+G327+G326+G325+G323+G322+G321+G320+G319+G318+G317+G316+G314+G313+G312+G311+G310+G309+G298+G297+G167+G166+G165+G158+G157+G156+G155+G154+G153+G152+G151+G149+G148+G147+G146+G145+G144+G143+G142+G94+G93+G92+G85+G84+G83+G82+G81+G80+G79+G78+G76+G75+G74+G73+G72+G71+G70+G69+G23+G22+G12+G11</f>
        <v>17790951.399999995</v>
      </c>
    </row>
    <row r="764" spans="1:14" ht="16.5" x14ac:dyDescent="0.25">
      <c r="A764" s="377"/>
      <c r="B764" s="380"/>
      <c r="C764" s="222"/>
      <c r="D764" s="214">
        <v>2025</v>
      </c>
      <c r="E764" s="19">
        <f t="shared" si="32"/>
        <v>180</v>
      </c>
      <c r="F764" s="46">
        <v>0</v>
      </c>
      <c r="G764" s="19">
        <v>0</v>
      </c>
      <c r="H764" s="46">
        <v>180</v>
      </c>
      <c r="I764" s="19">
        <v>0</v>
      </c>
      <c r="J764" s="46">
        <v>0</v>
      </c>
      <c r="K764" s="268"/>
      <c r="L764" s="261"/>
      <c r="M764" s="29">
        <f>M763-9078393.7</f>
        <v>8712557.6999999955</v>
      </c>
    </row>
    <row r="765" spans="1:14" ht="17.25" thickBot="1" x14ac:dyDescent="0.3">
      <c r="A765" s="378"/>
      <c r="B765" s="381"/>
      <c r="C765" s="223"/>
      <c r="D765" s="118">
        <v>2026</v>
      </c>
      <c r="E765" s="22">
        <f>F765+G765+H765+J765</f>
        <v>180</v>
      </c>
      <c r="F765" s="67">
        <v>0</v>
      </c>
      <c r="G765" s="22">
        <v>0</v>
      </c>
      <c r="H765" s="67">
        <v>180</v>
      </c>
      <c r="I765" s="22">
        <v>0</v>
      </c>
      <c r="J765" s="67">
        <v>0</v>
      </c>
      <c r="K765" s="269"/>
      <c r="L765" s="262"/>
      <c r="M765" s="29"/>
      <c r="N765" s="29"/>
    </row>
    <row r="766" spans="1:14" ht="17.25" customHeight="1" thickBot="1" x14ac:dyDescent="0.3">
      <c r="A766" s="254" t="s">
        <v>332</v>
      </c>
      <c r="B766" s="251" t="s">
        <v>346</v>
      </c>
      <c r="C766" s="156"/>
      <c r="D766" s="151">
        <v>2018</v>
      </c>
      <c r="E766" s="150">
        <v>0</v>
      </c>
      <c r="F766" s="150">
        <v>0</v>
      </c>
      <c r="G766" s="150">
        <v>0</v>
      </c>
      <c r="H766" s="150">
        <v>0</v>
      </c>
      <c r="I766" s="150">
        <v>0</v>
      </c>
      <c r="J766" s="150">
        <v>0</v>
      </c>
      <c r="K766" s="257" t="s">
        <v>345</v>
      </c>
      <c r="L766" s="260" t="s">
        <v>38</v>
      </c>
      <c r="M766" s="29"/>
      <c r="N766" s="29"/>
    </row>
    <row r="767" spans="1:14" ht="17.25" thickBot="1" x14ac:dyDescent="0.3">
      <c r="A767" s="385"/>
      <c r="B767" s="252"/>
      <c r="C767" s="156"/>
      <c r="D767" s="105">
        <v>2019</v>
      </c>
      <c r="E767" s="148">
        <v>0</v>
      </c>
      <c r="F767" s="148">
        <v>0</v>
      </c>
      <c r="G767" s="148">
        <v>0</v>
      </c>
      <c r="H767" s="148">
        <v>0</v>
      </c>
      <c r="I767" s="148">
        <v>0</v>
      </c>
      <c r="J767" s="148">
        <v>0</v>
      </c>
      <c r="K767" s="258"/>
      <c r="L767" s="261"/>
      <c r="M767" s="29"/>
      <c r="N767" s="29"/>
    </row>
    <row r="768" spans="1:14" ht="17.25" thickBot="1" x14ac:dyDescent="0.3">
      <c r="A768" s="385"/>
      <c r="B768" s="252"/>
      <c r="C768" s="156"/>
      <c r="D768" s="105">
        <v>2020</v>
      </c>
      <c r="E768" s="148">
        <v>0</v>
      </c>
      <c r="F768" s="148">
        <v>0</v>
      </c>
      <c r="G768" s="148">
        <v>0</v>
      </c>
      <c r="H768" s="148">
        <v>0</v>
      </c>
      <c r="I768" s="148">
        <v>0</v>
      </c>
      <c r="J768" s="148">
        <v>0</v>
      </c>
      <c r="K768" s="258"/>
      <c r="L768" s="261"/>
      <c r="M768" s="29"/>
      <c r="N768" s="29"/>
    </row>
    <row r="769" spans="1:14" ht="17.25" thickBot="1" x14ac:dyDescent="0.3">
      <c r="A769" s="385"/>
      <c r="B769" s="252"/>
      <c r="C769" s="156"/>
      <c r="D769" s="105">
        <v>2021</v>
      </c>
      <c r="E769" s="148">
        <v>0</v>
      </c>
      <c r="F769" s="148">
        <v>0</v>
      </c>
      <c r="G769" s="148">
        <v>0</v>
      </c>
      <c r="H769" s="148">
        <v>0</v>
      </c>
      <c r="I769" s="148">
        <v>0</v>
      </c>
      <c r="J769" s="148">
        <v>0</v>
      </c>
      <c r="K769" s="258"/>
      <c r="L769" s="261"/>
      <c r="M769" s="29"/>
      <c r="N769" s="29"/>
    </row>
    <row r="770" spans="1:14" ht="17.25" thickBot="1" x14ac:dyDescent="0.3">
      <c r="A770" s="385"/>
      <c r="B770" s="252"/>
      <c r="C770" s="156"/>
      <c r="D770" s="105">
        <v>2022</v>
      </c>
      <c r="E770" s="148">
        <v>0</v>
      </c>
      <c r="F770" s="148">
        <v>0</v>
      </c>
      <c r="G770" s="148">
        <v>0</v>
      </c>
      <c r="H770" s="148">
        <v>0</v>
      </c>
      <c r="I770" s="148">
        <v>0</v>
      </c>
      <c r="J770" s="148">
        <v>0</v>
      </c>
      <c r="K770" s="258"/>
      <c r="L770" s="261"/>
      <c r="M770" s="29"/>
      <c r="N770" s="29"/>
    </row>
    <row r="771" spans="1:14" ht="17.25" thickBot="1" x14ac:dyDescent="0.3">
      <c r="A771" s="385"/>
      <c r="B771" s="252"/>
      <c r="C771" s="156"/>
      <c r="D771" s="105">
        <v>2023</v>
      </c>
      <c r="E771" s="148">
        <f>F771+G771+H771+I771+J771</f>
        <v>120</v>
      </c>
      <c r="F771" s="148">
        <v>0</v>
      </c>
      <c r="G771" s="148">
        <v>0</v>
      </c>
      <c r="H771" s="148">
        <v>120</v>
      </c>
      <c r="I771" s="148">
        <v>0</v>
      </c>
      <c r="J771" s="148">
        <v>0</v>
      </c>
      <c r="K771" s="258"/>
      <c r="L771" s="261"/>
      <c r="M771" s="29"/>
      <c r="N771" s="29"/>
    </row>
    <row r="772" spans="1:14" ht="17.25" thickBot="1" x14ac:dyDescent="0.3">
      <c r="A772" s="385"/>
      <c r="B772" s="252"/>
      <c r="C772" s="156"/>
      <c r="D772" s="105">
        <v>2024</v>
      </c>
      <c r="E772" s="148">
        <v>0</v>
      </c>
      <c r="F772" s="148">
        <v>0</v>
      </c>
      <c r="G772" s="148">
        <v>0</v>
      </c>
      <c r="H772" s="147">
        <v>1440</v>
      </c>
      <c r="I772" s="148">
        <v>0</v>
      </c>
      <c r="J772" s="148">
        <v>0</v>
      </c>
      <c r="K772" s="258"/>
      <c r="L772" s="261"/>
      <c r="M772" s="29"/>
      <c r="N772" s="29"/>
    </row>
    <row r="773" spans="1:14" ht="17.25" thickBot="1" x14ac:dyDescent="0.3">
      <c r="A773" s="385"/>
      <c r="B773" s="252"/>
      <c r="C773" s="156"/>
      <c r="D773" s="105">
        <v>2025</v>
      </c>
      <c r="E773" s="148">
        <v>0</v>
      </c>
      <c r="F773" s="148">
        <v>0</v>
      </c>
      <c r="G773" s="148">
        <v>0</v>
      </c>
      <c r="H773" s="147">
        <f>1440</f>
        <v>1440</v>
      </c>
      <c r="I773" s="148">
        <v>0</v>
      </c>
      <c r="J773" s="148">
        <v>0</v>
      </c>
      <c r="K773" s="258"/>
      <c r="L773" s="261"/>
      <c r="M773" s="29"/>
      <c r="N773" s="29"/>
    </row>
    <row r="774" spans="1:14" ht="36.75" customHeight="1" thickBot="1" x14ac:dyDescent="0.3">
      <c r="A774" s="386"/>
      <c r="B774" s="253"/>
      <c r="C774" s="156"/>
      <c r="D774" s="149">
        <v>2026</v>
      </c>
      <c r="E774" s="148">
        <v>0</v>
      </c>
      <c r="F774" s="148">
        <v>0</v>
      </c>
      <c r="G774" s="148">
        <v>0</v>
      </c>
      <c r="H774" s="147">
        <v>1440</v>
      </c>
      <c r="I774" s="148">
        <v>0</v>
      </c>
      <c r="J774" s="148">
        <v>0</v>
      </c>
      <c r="K774" s="259"/>
      <c r="L774" s="262"/>
      <c r="M774" s="29"/>
      <c r="N774" s="29"/>
    </row>
    <row r="775" spans="1:14" ht="17.25" thickBot="1" x14ac:dyDescent="0.3">
      <c r="A775" s="254" t="s">
        <v>334</v>
      </c>
      <c r="B775" s="251" t="s">
        <v>333</v>
      </c>
      <c r="C775" s="156"/>
      <c r="D775" s="151">
        <v>2018</v>
      </c>
      <c r="E775" s="150">
        <v>0</v>
      </c>
      <c r="F775" s="152">
        <v>0</v>
      </c>
      <c r="G775" s="148">
        <v>0</v>
      </c>
      <c r="H775" s="148">
        <v>0</v>
      </c>
      <c r="I775" s="148">
        <v>0</v>
      </c>
      <c r="J775" s="150">
        <v>0</v>
      </c>
      <c r="K775" s="257" t="s">
        <v>344</v>
      </c>
      <c r="L775" s="260" t="s">
        <v>38</v>
      </c>
      <c r="M775" s="29"/>
      <c r="N775" s="29"/>
    </row>
    <row r="776" spans="1:14" ht="17.25" thickBot="1" x14ac:dyDescent="0.3">
      <c r="A776" s="255"/>
      <c r="B776" s="252"/>
      <c r="C776" s="156"/>
      <c r="D776" s="105">
        <v>2019</v>
      </c>
      <c r="E776" s="148">
        <v>0</v>
      </c>
      <c r="F776" s="152">
        <v>0</v>
      </c>
      <c r="G776" s="148">
        <v>0</v>
      </c>
      <c r="H776" s="148">
        <v>0</v>
      </c>
      <c r="I776" s="148">
        <v>0</v>
      </c>
      <c r="J776" s="148">
        <v>0</v>
      </c>
      <c r="K776" s="258"/>
      <c r="L776" s="261"/>
      <c r="M776" s="29"/>
      <c r="N776" s="29"/>
    </row>
    <row r="777" spans="1:14" ht="17.25" thickBot="1" x14ac:dyDescent="0.3">
      <c r="A777" s="255"/>
      <c r="B777" s="252"/>
      <c r="C777" s="156"/>
      <c r="D777" s="105">
        <v>2020</v>
      </c>
      <c r="E777" s="148">
        <v>0</v>
      </c>
      <c r="F777" s="152">
        <v>0</v>
      </c>
      <c r="G777" s="148">
        <v>0</v>
      </c>
      <c r="H777" s="148">
        <v>0</v>
      </c>
      <c r="I777" s="148">
        <v>0</v>
      </c>
      <c r="J777" s="148">
        <v>0</v>
      </c>
      <c r="K777" s="258"/>
      <c r="L777" s="261"/>
      <c r="M777" s="29"/>
      <c r="N777" s="29"/>
    </row>
    <row r="778" spans="1:14" ht="17.25" thickBot="1" x14ac:dyDescent="0.3">
      <c r="A778" s="255"/>
      <c r="B778" s="252"/>
      <c r="C778" s="156"/>
      <c r="D778" s="105">
        <v>2021</v>
      </c>
      <c r="E778" s="148">
        <v>0</v>
      </c>
      <c r="F778" s="152">
        <v>0</v>
      </c>
      <c r="G778" s="148">
        <v>0</v>
      </c>
      <c r="H778" s="148">
        <v>0</v>
      </c>
      <c r="I778" s="148">
        <v>0</v>
      </c>
      <c r="J778" s="148">
        <v>0</v>
      </c>
      <c r="K778" s="258"/>
      <c r="L778" s="261"/>
      <c r="M778" s="29"/>
      <c r="N778" s="29"/>
    </row>
    <row r="779" spans="1:14" ht="17.25" thickBot="1" x14ac:dyDescent="0.3">
      <c r="A779" s="255"/>
      <c r="B779" s="252"/>
      <c r="C779" s="156"/>
      <c r="D779" s="105">
        <v>2022</v>
      </c>
      <c r="E779" s="148">
        <v>0</v>
      </c>
      <c r="F779" s="152">
        <v>0</v>
      </c>
      <c r="G779" s="148">
        <v>0</v>
      </c>
      <c r="H779" s="148">
        <v>0</v>
      </c>
      <c r="I779" s="148">
        <v>0</v>
      </c>
      <c r="J779" s="148">
        <v>0</v>
      </c>
      <c r="K779" s="258"/>
      <c r="L779" s="261"/>
      <c r="M779" s="29"/>
      <c r="N779" s="29"/>
    </row>
    <row r="780" spans="1:14" ht="17.25" thickBot="1" x14ac:dyDescent="0.3">
      <c r="A780" s="255"/>
      <c r="B780" s="252"/>
      <c r="C780" s="156"/>
      <c r="D780" s="105">
        <v>2023</v>
      </c>
      <c r="E780" s="148">
        <f>F780+G780+H780+I780+J780</f>
        <v>1000</v>
      </c>
      <c r="F780" s="152">
        <v>0</v>
      </c>
      <c r="G780" s="148">
        <v>0</v>
      </c>
      <c r="H780" s="148">
        <v>1000</v>
      </c>
      <c r="I780" s="148">
        <v>0</v>
      </c>
      <c r="J780" s="148">
        <v>0</v>
      </c>
      <c r="K780" s="258"/>
      <c r="L780" s="261"/>
      <c r="M780" s="29"/>
      <c r="N780" s="29"/>
    </row>
    <row r="781" spans="1:14" ht="17.25" thickBot="1" x14ac:dyDescent="0.3">
      <c r="A781" s="255"/>
      <c r="B781" s="252"/>
      <c r="C781" s="156"/>
      <c r="D781" s="105">
        <v>2024</v>
      </c>
      <c r="E781" s="148">
        <v>0</v>
      </c>
      <c r="F781" s="152">
        <v>0</v>
      </c>
      <c r="G781" s="148">
        <v>0</v>
      </c>
      <c r="H781" s="148">
        <v>0</v>
      </c>
      <c r="I781" s="148">
        <v>0</v>
      </c>
      <c r="J781" s="148">
        <v>0</v>
      </c>
      <c r="K781" s="258"/>
      <c r="L781" s="261"/>
      <c r="M781" s="29"/>
      <c r="N781" s="29"/>
    </row>
    <row r="782" spans="1:14" ht="17.25" thickBot="1" x14ac:dyDescent="0.3">
      <c r="A782" s="255"/>
      <c r="B782" s="252"/>
      <c r="C782" s="156"/>
      <c r="D782" s="105">
        <v>2025</v>
      </c>
      <c r="E782" s="148">
        <v>0</v>
      </c>
      <c r="F782" s="152">
        <v>0</v>
      </c>
      <c r="G782" s="148">
        <v>0</v>
      </c>
      <c r="H782" s="148">
        <v>0</v>
      </c>
      <c r="I782" s="148">
        <v>0</v>
      </c>
      <c r="J782" s="148">
        <v>0</v>
      </c>
      <c r="K782" s="258"/>
      <c r="L782" s="261"/>
      <c r="M782" s="29"/>
      <c r="N782" s="29"/>
    </row>
    <row r="783" spans="1:14" ht="17.25" thickBot="1" x14ac:dyDescent="0.3">
      <c r="A783" s="256"/>
      <c r="B783" s="253"/>
      <c r="C783" s="156"/>
      <c r="D783" s="149">
        <v>2026</v>
      </c>
      <c r="E783" s="148">
        <v>0</v>
      </c>
      <c r="F783" s="152">
        <v>0</v>
      </c>
      <c r="G783" s="148">
        <v>0</v>
      </c>
      <c r="H783" s="148">
        <v>0</v>
      </c>
      <c r="I783" s="148">
        <v>0</v>
      </c>
      <c r="J783" s="148">
        <v>0</v>
      </c>
      <c r="K783" s="259"/>
      <c r="L783" s="262"/>
      <c r="M783" s="29"/>
      <c r="N783" s="29"/>
    </row>
    <row r="784" spans="1:14" ht="17.25" thickBot="1" x14ac:dyDescent="0.3">
      <c r="A784" s="254" t="s">
        <v>335</v>
      </c>
      <c r="B784" s="251" t="s">
        <v>336</v>
      </c>
      <c r="C784" s="156"/>
      <c r="D784" s="153">
        <v>2018</v>
      </c>
      <c r="E784" s="150">
        <v>0</v>
      </c>
      <c r="F784" s="152">
        <v>0</v>
      </c>
      <c r="G784" s="148">
        <v>0</v>
      </c>
      <c r="H784" s="148">
        <v>0</v>
      </c>
      <c r="I784" s="148">
        <v>0</v>
      </c>
      <c r="J784" s="150">
        <v>0</v>
      </c>
      <c r="K784" s="267" t="s">
        <v>203</v>
      </c>
      <c r="L784" s="260" t="s">
        <v>38</v>
      </c>
      <c r="M784" s="29"/>
      <c r="N784" s="29"/>
    </row>
    <row r="785" spans="1:14" ht="17.25" thickBot="1" x14ac:dyDescent="0.3">
      <c r="A785" s="255"/>
      <c r="B785" s="252"/>
      <c r="C785" s="156"/>
      <c r="D785" s="154">
        <v>2019</v>
      </c>
      <c r="E785" s="148">
        <v>0</v>
      </c>
      <c r="F785" s="152">
        <v>0</v>
      </c>
      <c r="G785" s="148">
        <v>0</v>
      </c>
      <c r="H785" s="148">
        <v>0</v>
      </c>
      <c r="I785" s="148">
        <v>0</v>
      </c>
      <c r="J785" s="148">
        <v>0</v>
      </c>
      <c r="K785" s="268"/>
      <c r="L785" s="261"/>
      <c r="M785" s="29"/>
      <c r="N785" s="29"/>
    </row>
    <row r="786" spans="1:14" ht="17.25" thickBot="1" x14ac:dyDescent="0.3">
      <c r="A786" s="255"/>
      <c r="B786" s="252"/>
      <c r="C786" s="156"/>
      <c r="D786" s="154">
        <v>2020</v>
      </c>
      <c r="E786" s="148">
        <v>0</v>
      </c>
      <c r="F786" s="152">
        <v>0</v>
      </c>
      <c r="G786" s="148">
        <v>0</v>
      </c>
      <c r="H786" s="148">
        <v>0</v>
      </c>
      <c r="I786" s="148">
        <v>0</v>
      </c>
      <c r="J786" s="148">
        <v>0</v>
      </c>
      <c r="K786" s="268"/>
      <c r="L786" s="261"/>
      <c r="M786" s="29"/>
      <c r="N786" s="29"/>
    </row>
    <row r="787" spans="1:14" ht="17.25" thickBot="1" x14ac:dyDescent="0.3">
      <c r="A787" s="255"/>
      <c r="B787" s="252"/>
      <c r="C787" s="156"/>
      <c r="D787" s="154">
        <v>2021</v>
      </c>
      <c r="E787" s="148">
        <v>0</v>
      </c>
      <c r="F787" s="152">
        <v>0</v>
      </c>
      <c r="G787" s="148">
        <v>0</v>
      </c>
      <c r="H787" s="148">
        <v>0</v>
      </c>
      <c r="I787" s="148">
        <v>0</v>
      </c>
      <c r="J787" s="148">
        <v>0</v>
      </c>
      <c r="K787" s="268"/>
      <c r="L787" s="261"/>
      <c r="M787" s="29"/>
      <c r="N787" s="29"/>
    </row>
    <row r="788" spans="1:14" ht="17.25" thickBot="1" x14ac:dyDescent="0.3">
      <c r="A788" s="255"/>
      <c r="B788" s="252"/>
      <c r="C788" s="156"/>
      <c r="D788" s="154">
        <v>2022</v>
      </c>
      <c r="E788" s="148">
        <v>0</v>
      </c>
      <c r="F788" s="152">
        <v>0</v>
      </c>
      <c r="G788" s="148">
        <v>0</v>
      </c>
      <c r="H788" s="148">
        <v>0</v>
      </c>
      <c r="I788" s="148">
        <v>0</v>
      </c>
      <c r="J788" s="148">
        <v>0</v>
      </c>
      <c r="K788" s="268"/>
      <c r="L788" s="261"/>
      <c r="M788" s="29"/>
      <c r="N788" s="29"/>
    </row>
    <row r="789" spans="1:14" ht="17.25" thickBot="1" x14ac:dyDescent="0.3">
      <c r="A789" s="255"/>
      <c r="B789" s="252"/>
      <c r="C789" s="156"/>
      <c r="D789" s="154">
        <v>2023</v>
      </c>
      <c r="E789" s="148">
        <v>0</v>
      </c>
      <c r="F789" s="152">
        <v>0</v>
      </c>
      <c r="G789" s="148">
        <v>0</v>
      </c>
      <c r="H789" s="148">
        <f>I789</f>
        <v>0</v>
      </c>
      <c r="I789" s="148">
        <v>0</v>
      </c>
      <c r="J789" s="148">
        <v>0</v>
      </c>
      <c r="K789" s="268"/>
      <c r="L789" s="261"/>
      <c r="M789" s="29"/>
      <c r="N789" s="29"/>
    </row>
    <row r="790" spans="1:14" ht="17.25" thickBot="1" x14ac:dyDescent="0.3">
      <c r="A790" s="255"/>
      <c r="B790" s="252"/>
      <c r="C790" s="156"/>
      <c r="D790" s="154">
        <v>2024</v>
      </c>
      <c r="E790" s="148">
        <v>0</v>
      </c>
      <c r="F790" s="152">
        <v>0</v>
      </c>
      <c r="G790" s="148">
        <v>0</v>
      </c>
      <c r="H790" s="147">
        <v>0</v>
      </c>
      <c r="I790" s="147">
        <v>0</v>
      </c>
      <c r="J790" s="148">
        <v>0</v>
      </c>
      <c r="K790" s="268"/>
      <c r="L790" s="261"/>
      <c r="M790" s="29"/>
      <c r="N790" s="29"/>
    </row>
    <row r="791" spans="1:14" ht="17.25" thickBot="1" x14ac:dyDescent="0.3">
      <c r="A791" s="255"/>
      <c r="B791" s="252"/>
      <c r="C791" s="163"/>
      <c r="D791" s="169">
        <v>2025</v>
      </c>
      <c r="E791" s="164">
        <v>0</v>
      </c>
      <c r="F791" s="165">
        <v>0</v>
      </c>
      <c r="G791" s="164">
        <v>0</v>
      </c>
      <c r="H791" s="166">
        <v>0</v>
      </c>
      <c r="I791" s="166">
        <v>0</v>
      </c>
      <c r="J791" s="164">
        <v>0</v>
      </c>
      <c r="K791" s="268"/>
      <c r="L791" s="261"/>
      <c r="M791" s="29"/>
      <c r="N791" s="29"/>
    </row>
    <row r="792" spans="1:14" s="1" customFormat="1" ht="17.25" thickBot="1" x14ac:dyDescent="0.3">
      <c r="A792" s="256"/>
      <c r="B792" s="253"/>
      <c r="C792" s="221"/>
      <c r="D792" s="155">
        <v>2026</v>
      </c>
      <c r="E792" s="150">
        <v>0</v>
      </c>
      <c r="F792" s="249">
        <v>0</v>
      </c>
      <c r="G792" s="150">
        <v>0</v>
      </c>
      <c r="H792" s="250">
        <v>0</v>
      </c>
      <c r="I792" s="250">
        <v>0</v>
      </c>
      <c r="J792" s="150">
        <v>0</v>
      </c>
      <c r="K792" s="269"/>
      <c r="L792" s="262"/>
      <c r="M792" s="184"/>
      <c r="N792" s="184"/>
    </row>
    <row r="793" spans="1:14" s="193" customFormat="1" ht="17.25" thickBot="1" x14ac:dyDescent="0.3">
      <c r="A793" s="185" t="s">
        <v>313</v>
      </c>
      <c r="B793" s="186">
        <v>2</v>
      </c>
      <c r="C793" s="187"/>
      <c r="D793" s="188">
        <v>3</v>
      </c>
      <c r="E793" s="189">
        <v>4</v>
      </c>
      <c r="F793" s="190">
        <v>5</v>
      </c>
      <c r="G793" s="189">
        <v>6</v>
      </c>
      <c r="H793" s="191">
        <v>7</v>
      </c>
      <c r="I793" s="191">
        <v>8</v>
      </c>
      <c r="J793" s="189">
        <v>9</v>
      </c>
      <c r="K793" s="69">
        <v>10</v>
      </c>
      <c r="L793" s="70">
        <v>11</v>
      </c>
      <c r="M793" s="192"/>
      <c r="N793" s="192"/>
    </row>
    <row r="794" spans="1:14" ht="29.25" customHeight="1" thickBot="1" x14ac:dyDescent="0.3">
      <c r="A794" s="254" t="s">
        <v>337</v>
      </c>
      <c r="B794" s="412" t="s">
        <v>343</v>
      </c>
      <c r="C794" s="156"/>
      <c r="D794" s="154">
        <v>2018</v>
      </c>
      <c r="E794" s="148">
        <v>0</v>
      </c>
      <c r="F794" s="152">
        <v>0</v>
      </c>
      <c r="G794" s="148">
        <v>0</v>
      </c>
      <c r="H794" s="148">
        <v>0</v>
      </c>
      <c r="I794" s="148">
        <v>0</v>
      </c>
      <c r="J794" s="148">
        <v>0</v>
      </c>
      <c r="K794" s="267" t="s">
        <v>205</v>
      </c>
      <c r="L794" s="260" t="s">
        <v>38</v>
      </c>
      <c r="M794" s="29"/>
      <c r="N794" s="29"/>
    </row>
    <row r="795" spans="1:14" ht="28.5" customHeight="1" thickBot="1" x14ac:dyDescent="0.3">
      <c r="A795" s="255"/>
      <c r="B795" s="413"/>
      <c r="C795" s="156"/>
      <c r="D795" s="154">
        <v>2019</v>
      </c>
      <c r="E795" s="148">
        <v>0</v>
      </c>
      <c r="F795" s="152">
        <v>0</v>
      </c>
      <c r="G795" s="148">
        <v>0</v>
      </c>
      <c r="H795" s="148">
        <v>0</v>
      </c>
      <c r="I795" s="148">
        <v>0</v>
      </c>
      <c r="J795" s="148">
        <v>0</v>
      </c>
      <c r="K795" s="268"/>
      <c r="L795" s="261"/>
      <c r="M795" s="29"/>
      <c r="N795" s="29"/>
    </row>
    <row r="796" spans="1:14" ht="27" customHeight="1" thickBot="1" x14ac:dyDescent="0.3">
      <c r="A796" s="255"/>
      <c r="B796" s="413"/>
      <c r="C796" s="156"/>
      <c r="D796" s="154">
        <v>2020</v>
      </c>
      <c r="E796" s="148">
        <v>0</v>
      </c>
      <c r="F796" s="152">
        <v>0</v>
      </c>
      <c r="G796" s="148">
        <v>0</v>
      </c>
      <c r="H796" s="148">
        <v>0</v>
      </c>
      <c r="I796" s="148">
        <v>0</v>
      </c>
      <c r="J796" s="148">
        <v>0</v>
      </c>
      <c r="K796" s="268"/>
      <c r="L796" s="261"/>
      <c r="M796" s="29"/>
      <c r="N796" s="29"/>
    </row>
    <row r="797" spans="1:14" ht="27.75" customHeight="1" thickBot="1" x14ac:dyDescent="0.3">
      <c r="A797" s="255"/>
      <c r="B797" s="413"/>
      <c r="C797" s="156"/>
      <c r="D797" s="154">
        <v>2021</v>
      </c>
      <c r="E797" s="148">
        <v>0</v>
      </c>
      <c r="F797" s="152">
        <v>0</v>
      </c>
      <c r="G797" s="148">
        <v>0</v>
      </c>
      <c r="H797" s="148">
        <v>0</v>
      </c>
      <c r="I797" s="148">
        <v>0</v>
      </c>
      <c r="J797" s="148">
        <v>0</v>
      </c>
      <c r="K797" s="268"/>
      <c r="L797" s="261"/>
      <c r="M797" s="29"/>
      <c r="N797" s="29"/>
    </row>
    <row r="798" spans="1:14" ht="26.25" customHeight="1" thickBot="1" x14ac:dyDescent="0.3">
      <c r="A798" s="255"/>
      <c r="B798" s="413"/>
      <c r="C798" s="156"/>
      <c r="D798" s="154">
        <v>2022</v>
      </c>
      <c r="E798" s="148">
        <v>0</v>
      </c>
      <c r="F798" s="152">
        <v>0</v>
      </c>
      <c r="G798" s="148">
        <v>0</v>
      </c>
      <c r="H798" s="148">
        <v>0</v>
      </c>
      <c r="I798" s="148">
        <v>0</v>
      </c>
      <c r="J798" s="148">
        <v>0</v>
      </c>
      <c r="K798" s="268"/>
      <c r="L798" s="261"/>
      <c r="M798" s="29"/>
      <c r="N798" s="29"/>
    </row>
    <row r="799" spans="1:14" ht="27" customHeight="1" thickBot="1" x14ac:dyDescent="0.3">
      <c r="A799" s="255"/>
      <c r="B799" s="413"/>
      <c r="C799" s="156"/>
      <c r="D799" s="154">
        <v>2023</v>
      </c>
      <c r="E799" s="148">
        <v>0</v>
      </c>
      <c r="F799" s="152">
        <v>0</v>
      </c>
      <c r="G799" s="148">
        <v>0</v>
      </c>
      <c r="H799" s="148">
        <v>0</v>
      </c>
      <c r="I799" s="148">
        <v>0</v>
      </c>
      <c r="J799" s="148">
        <v>0</v>
      </c>
      <c r="K799" s="268"/>
      <c r="L799" s="261"/>
      <c r="M799" s="29"/>
      <c r="N799" s="29"/>
    </row>
    <row r="800" spans="1:14" ht="27" customHeight="1" thickBot="1" x14ac:dyDescent="0.3">
      <c r="A800" s="255"/>
      <c r="B800" s="413"/>
      <c r="C800" s="156"/>
      <c r="D800" s="154">
        <v>2024</v>
      </c>
      <c r="E800" s="148">
        <f>F800+G800+H800+J800</f>
        <v>0</v>
      </c>
      <c r="F800" s="152">
        <v>0</v>
      </c>
      <c r="G800" s="148">
        <v>0</v>
      </c>
      <c r="H800" s="147">
        <v>0</v>
      </c>
      <c r="I800" s="147">
        <v>0</v>
      </c>
      <c r="J800" s="148">
        <v>0</v>
      </c>
      <c r="K800" s="268"/>
      <c r="L800" s="261"/>
      <c r="M800" s="29"/>
      <c r="N800" s="29"/>
    </row>
    <row r="801" spans="1:14" ht="24" customHeight="1" thickBot="1" x14ac:dyDescent="0.3">
      <c r="A801" s="255"/>
      <c r="B801" s="413"/>
      <c r="C801" s="156"/>
      <c r="D801" s="154">
        <v>2025</v>
      </c>
      <c r="E801" s="148">
        <v>0</v>
      </c>
      <c r="F801" s="152">
        <v>0</v>
      </c>
      <c r="G801" s="148">
        <v>0</v>
      </c>
      <c r="H801" s="147">
        <v>0</v>
      </c>
      <c r="I801" s="147">
        <v>0</v>
      </c>
      <c r="J801" s="148">
        <v>0</v>
      </c>
      <c r="K801" s="268"/>
      <c r="L801" s="261"/>
      <c r="M801" s="29"/>
      <c r="N801" s="29"/>
    </row>
    <row r="802" spans="1:14" ht="26.25" customHeight="1" thickBot="1" x14ac:dyDescent="0.3">
      <c r="A802" s="256"/>
      <c r="B802" s="414"/>
      <c r="C802" s="156"/>
      <c r="D802" s="149">
        <v>2026</v>
      </c>
      <c r="E802" s="148">
        <v>0</v>
      </c>
      <c r="F802" s="152">
        <v>0</v>
      </c>
      <c r="G802" s="148">
        <v>0</v>
      </c>
      <c r="H802" s="147">
        <v>0</v>
      </c>
      <c r="I802" s="147">
        <v>0</v>
      </c>
      <c r="J802" s="148">
        <v>0</v>
      </c>
      <c r="K802" s="269"/>
      <c r="L802" s="262"/>
      <c r="M802" s="29"/>
      <c r="N802" s="29"/>
    </row>
    <row r="803" spans="1:14" ht="21.75" customHeight="1" thickBot="1" x14ac:dyDescent="0.3">
      <c r="A803" s="254" t="s">
        <v>338</v>
      </c>
      <c r="B803" s="412" t="s">
        <v>339</v>
      </c>
      <c r="C803" s="156"/>
      <c r="D803" s="153">
        <v>2018</v>
      </c>
      <c r="E803" s="148">
        <v>0</v>
      </c>
      <c r="F803" s="148">
        <v>0</v>
      </c>
      <c r="G803" s="148">
        <v>0</v>
      </c>
      <c r="H803" s="148">
        <v>0</v>
      </c>
      <c r="I803" s="148">
        <v>0</v>
      </c>
      <c r="J803" s="148">
        <v>0</v>
      </c>
      <c r="K803" s="267" t="s">
        <v>222</v>
      </c>
      <c r="L803" s="260" t="s">
        <v>38</v>
      </c>
      <c r="M803" s="29"/>
      <c r="N803" s="29"/>
    </row>
    <row r="804" spans="1:14" ht="22.5" customHeight="1" thickBot="1" x14ac:dyDescent="0.3">
      <c r="A804" s="255"/>
      <c r="B804" s="413"/>
      <c r="C804" s="156"/>
      <c r="D804" s="154">
        <v>2019</v>
      </c>
      <c r="E804" s="148">
        <v>0</v>
      </c>
      <c r="F804" s="148">
        <v>0</v>
      </c>
      <c r="G804" s="148">
        <v>0</v>
      </c>
      <c r="H804" s="148">
        <v>0</v>
      </c>
      <c r="I804" s="148">
        <v>0</v>
      </c>
      <c r="J804" s="148">
        <v>0</v>
      </c>
      <c r="K804" s="268"/>
      <c r="L804" s="261"/>
      <c r="M804" s="29"/>
      <c r="N804" s="29"/>
    </row>
    <row r="805" spans="1:14" ht="19.5" customHeight="1" thickBot="1" x14ac:dyDescent="0.3">
      <c r="A805" s="255"/>
      <c r="B805" s="413"/>
      <c r="C805" s="156"/>
      <c r="D805" s="154">
        <v>2020</v>
      </c>
      <c r="E805" s="148">
        <v>0</v>
      </c>
      <c r="F805" s="148">
        <v>0</v>
      </c>
      <c r="G805" s="148">
        <v>0</v>
      </c>
      <c r="H805" s="148">
        <v>0</v>
      </c>
      <c r="I805" s="148">
        <v>0</v>
      </c>
      <c r="J805" s="148">
        <v>0</v>
      </c>
      <c r="K805" s="268"/>
      <c r="L805" s="261"/>
      <c r="M805" s="29"/>
      <c r="N805" s="29"/>
    </row>
    <row r="806" spans="1:14" ht="23.25" customHeight="1" thickBot="1" x14ac:dyDescent="0.3">
      <c r="A806" s="255"/>
      <c r="B806" s="413"/>
      <c r="C806" s="156"/>
      <c r="D806" s="154">
        <v>2021</v>
      </c>
      <c r="E806" s="148">
        <v>0</v>
      </c>
      <c r="F806" s="148">
        <v>0</v>
      </c>
      <c r="G806" s="148">
        <v>0</v>
      </c>
      <c r="H806" s="148">
        <v>0</v>
      </c>
      <c r="I806" s="148">
        <v>0</v>
      </c>
      <c r="J806" s="148">
        <v>0</v>
      </c>
      <c r="K806" s="268"/>
      <c r="L806" s="261"/>
      <c r="M806" s="29"/>
      <c r="N806" s="29"/>
    </row>
    <row r="807" spans="1:14" ht="17.25" customHeight="1" thickBot="1" x14ac:dyDescent="0.3">
      <c r="A807" s="255"/>
      <c r="B807" s="413"/>
      <c r="C807" s="156"/>
      <c r="D807" s="154">
        <v>2022</v>
      </c>
      <c r="E807" s="148">
        <v>0</v>
      </c>
      <c r="F807" s="148">
        <v>0</v>
      </c>
      <c r="G807" s="148">
        <v>0</v>
      </c>
      <c r="H807" s="148">
        <v>0</v>
      </c>
      <c r="I807" s="148">
        <v>0</v>
      </c>
      <c r="J807" s="148">
        <v>0</v>
      </c>
      <c r="K807" s="268"/>
      <c r="L807" s="261"/>
      <c r="M807" s="29"/>
      <c r="N807" s="29"/>
    </row>
    <row r="808" spans="1:14" ht="20.25" customHeight="1" thickBot="1" x14ac:dyDescent="0.3">
      <c r="A808" s="255"/>
      <c r="B808" s="413"/>
      <c r="C808" s="156"/>
      <c r="D808" s="154">
        <v>2023</v>
      </c>
      <c r="E808" s="148">
        <v>0</v>
      </c>
      <c r="F808" s="148">
        <v>0</v>
      </c>
      <c r="G808" s="148">
        <v>0</v>
      </c>
      <c r="H808" s="148">
        <v>0</v>
      </c>
      <c r="I808" s="148">
        <v>0</v>
      </c>
      <c r="J808" s="148">
        <v>0</v>
      </c>
      <c r="K808" s="268"/>
      <c r="L808" s="261"/>
      <c r="M808" s="29"/>
      <c r="N808" s="29"/>
    </row>
    <row r="809" spans="1:14" ht="21.75" customHeight="1" thickBot="1" x14ac:dyDescent="0.3">
      <c r="A809" s="255"/>
      <c r="B809" s="413"/>
      <c r="C809" s="156"/>
      <c r="D809" s="154">
        <v>2024</v>
      </c>
      <c r="E809" s="148">
        <v>0</v>
      </c>
      <c r="F809" s="148">
        <v>0</v>
      </c>
      <c r="G809" s="148">
        <v>0</v>
      </c>
      <c r="H809" s="148">
        <f>I809</f>
        <v>0</v>
      </c>
      <c r="I809" s="148">
        <v>0</v>
      </c>
      <c r="J809" s="148">
        <v>0</v>
      </c>
      <c r="K809" s="268"/>
      <c r="L809" s="261"/>
      <c r="M809" s="29"/>
      <c r="N809" s="29"/>
    </row>
    <row r="810" spans="1:14" ht="20.25" customHeight="1" thickBot="1" x14ac:dyDescent="0.3">
      <c r="A810" s="255"/>
      <c r="B810" s="413"/>
      <c r="C810" s="156"/>
      <c r="D810" s="154">
        <v>2025</v>
      </c>
      <c r="E810" s="148">
        <v>0</v>
      </c>
      <c r="F810" s="148">
        <v>0</v>
      </c>
      <c r="G810" s="148">
        <v>0</v>
      </c>
      <c r="H810" s="148">
        <f>I810</f>
        <v>0</v>
      </c>
      <c r="I810" s="148">
        <v>0</v>
      </c>
      <c r="J810" s="148">
        <v>0</v>
      </c>
      <c r="K810" s="268"/>
      <c r="L810" s="261"/>
      <c r="M810" s="29"/>
      <c r="N810" s="29"/>
    </row>
    <row r="811" spans="1:14" ht="20.25" customHeight="1" thickBot="1" x14ac:dyDescent="0.3">
      <c r="A811" s="256"/>
      <c r="B811" s="414"/>
      <c r="C811" s="156"/>
      <c r="D811" s="149">
        <v>2026</v>
      </c>
      <c r="E811" s="148">
        <v>0</v>
      </c>
      <c r="F811" s="148">
        <v>0</v>
      </c>
      <c r="G811" s="148">
        <v>0</v>
      </c>
      <c r="H811" s="148">
        <f>I811</f>
        <v>0</v>
      </c>
      <c r="I811" s="148">
        <v>0</v>
      </c>
      <c r="J811" s="148">
        <v>0</v>
      </c>
      <c r="K811" s="269"/>
      <c r="L811" s="262"/>
      <c r="M811" s="29"/>
      <c r="N811" s="29"/>
    </row>
    <row r="812" spans="1:14" ht="26.25" customHeight="1" thickBot="1" x14ac:dyDescent="0.3">
      <c r="A812" s="254" t="s">
        <v>340</v>
      </c>
      <c r="B812" s="412" t="s">
        <v>341</v>
      </c>
      <c r="C812" s="156"/>
      <c r="D812" s="153">
        <v>2018</v>
      </c>
      <c r="E812" s="148">
        <v>0</v>
      </c>
      <c r="F812" s="148">
        <v>0</v>
      </c>
      <c r="G812" s="148">
        <v>0</v>
      </c>
      <c r="H812" s="148">
        <v>0</v>
      </c>
      <c r="I812" s="148">
        <v>0</v>
      </c>
      <c r="J812" s="148">
        <v>0</v>
      </c>
      <c r="K812" s="410" t="s">
        <v>347</v>
      </c>
      <c r="L812" s="260" t="s">
        <v>26</v>
      </c>
      <c r="M812" s="29"/>
      <c r="N812" s="29"/>
    </row>
    <row r="813" spans="1:14" ht="25.5" customHeight="1" thickBot="1" x14ac:dyDescent="0.3">
      <c r="A813" s="255"/>
      <c r="B813" s="413"/>
      <c r="C813" s="156"/>
      <c r="D813" s="154">
        <v>2019</v>
      </c>
      <c r="E813" s="148">
        <v>0</v>
      </c>
      <c r="F813" s="148">
        <v>0</v>
      </c>
      <c r="G813" s="148">
        <v>0</v>
      </c>
      <c r="H813" s="148">
        <v>0</v>
      </c>
      <c r="I813" s="148">
        <v>0</v>
      </c>
      <c r="J813" s="148">
        <v>0</v>
      </c>
      <c r="K813" s="411"/>
      <c r="L813" s="261"/>
      <c r="M813" s="29"/>
      <c r="N813" s="29"/>
    </row>
    <row r="814" spans="1:14" ht="25.5" customHeight="1" thickBot="1" x14ac:dyDescent="0.3">
      <c r="A814" s="255"/>
      <c r="B814" s="413"/>
      <c r="C814" s="156"/>
      <c r="D814" s="154">
        <v>2020</v>
      </c>
      <c r="E814" s="148">
        <v>0</v>
      </c>
      <c r="F814" s="148">
        <v>0</v>
      </c>
      <c r="G814" s="148">
        <v>0</v>
      </c>
      <c r="H814" s="148">
        <v>0</v>
      </c>
      <c r="I814" s="148">
        <v>0</v>
      </c>
      <c r="J814" s="148">
        <v>0</v>
      </c>
      <c r="K814" s="411"/>
      <c r="L814" s="261"/>
      <c r="M814" s="29"/>
      <c r="N814" s="29"/>
    </row>
    <row r="815" spans="1:14" ht="24" customHeight="1" thickBot="1" x14ac:dyDescent="0.3">
      <c r="A815" s="255"/>
      <c r="B815" s="413"/>
      <c r="C815" s="156"/>
      <c r="D815" s="154">
        <v>2021</v>
      </c>
      <c r="E815" s="148">
        <v>0</v>
      </c>
      <c r="F815" s="148">
        <v>0</v>
      </c>
      <c r="G815" s="148">
        <v>0</v>
      </c>
      <c r="H815" s="148">
        <v>0</v>
      </c>
      <c r="I815" s="148">
        <v>0</v>
      </c>
      <c r="J815" s="148">
        <v>0</v>
      </c>
      <c r="K815" s="411"/>
      <c r="L815" s="261"/>
      <c r="M815" s="29"/>
      <c r="N815" s="29"/>
    </row>
    <row r="816" spans="1:14" ht="27" customHeight="1" thickBot="1" x14ac:dyDescent="0.3">
      <c r="A816" s="255"/>
      <c r="B816" s="413"/>
      <c r="C816" s="156"/>
      <c r="D816" s="154">
        <v>2022</v>
      </c>
      <c r="E816" s="148">
        <v>0</v>
      </c>
      <c r="F816" s="148">
        <v>0</v>
      </c>
      <c r="G816" s="148">
        <v>0</v>
      </c>
      <c r="H816" s="148">
        <v>0</v>
      </c>
      <c r="I816" s="148">
        <v>0</v>
      </c>
      <c r="J816" s="148">
        <v>0</v>
      </c>
      <c r="K816" s="411"/>
      <c r="L816" s="261"/>
      <c r="M816" s="29"/>
      <c r="N816" s="29"/>
    </row>
    <row r="817" spans="1:14" ht="28.5" customHeight="1" thickBot="1" x14ac:dyDescent="0.3">
      <c r="A817" s="255"/>
      <c r="B817" s="413"/>
      <c r="C817" s="156"/>
      <c r="D817" s="154">
        <v>2023</v>
      </c>
      <c r="E817" s="148">
        <v>0</v>
      </c>
      <c r="F817" s="148">
        <v>0</v>
      </c>
      <c r="G817" s="148">
        <v>0</v>
      </c>
      <c r="H817" s="148">
        <v>0</v>
      </c>
      <c r="I817" s="148">
        <v>0</v>
      </c>
      <c r="J817" s="148">
        <v>0</v>
      </c>
      <c r="K817" s="411"/>
      <c r="L817" s="261"/>
      <c r="M817" s="29"/>
      <c r="N817" s="29"/>
    </row>
    <row r="818" spans="1:14" ht="25.5" customHeight="1" thickBot="1" x14ac:dyDescent="0.3">
      <c r="A818" s="255"/>
      <c r="B818" s="413"/>
      <c r="C818" s="156"/>
      <c r="D818" s="154">
        <v>2024</v>
      </c>
      <c r="E818" s="148">
        <v>0</v>
      </c>
      <c r="F818" s="148">
        <v>0</v>
      </c>
      <c r="G818" s="147">
        <v>0</v>
      </c>
      <c r="H818" s="147">
        <v>0</v>
      </c>
      <c r="I818" s="147">
        <v>0</v>
      </c>
      <c r="J818" s="148">
        <v>0</v>
      </c>
      <c r="K818" s="411"/>
      <c r="L818" s="261"/>
      <c r="M818" s="29"/>
      <c r="N818" s="29"/>
    </row>
    <row r="819" spans="1:14" ht="24.75" customHeight="1" thickBot="1" x14ac:dyDescent="0.3">
      <c r="A819" s="255"/>
      <c r="B819" s="413"/>
      <c r="C819" s="156"/>
      <c r="D819" s="154">
        <v>2025</v>
      </c>
      <c r="E819" s="148">
        <v>0</v>
      </c>
      <c r="F819" s="148">
        <v>0</v>
      </c>
      <c r="G819" s="147">
        <v>0</v>
      </c>
      <c r="H819" s="147">
        <f>I819</f>
        <v>0</v>
      </c>
      <c r="I819" s="147">
        <v>0</v>
      </c>
      <c r="J819" s="148">
        <v>0</v>
      </c>
      <c r="K819" s="411"/>
      <c r="L819" s="261"/>
      <c r="M819" s="29"/>
      <c r="N819" s="29"/>
    </row>
    <row r="820" spans="1:14" ht="25.5" customHeight="1" thickBot="1" x14ac:dyDescent="0.3">
      <c r="A820" s="256"/>
      <c r="B820" s="414"/>
      <c r="C820" s="156"/>
      <c r="D820" s="155">
        <v>2026</v>
      </c>
      <c r="E820" s="148">
        <v>0</v>
      </c>
      <c r="F820" s="148">
        <v>0</v>
      </c>
      <c r="G820" s="147">
        <v>0</v>
      </c>
      <c r="H820" s="147">
        <f>I820</f>
        <v>0</v>
      </c>
      <c r="I820" s="147">
        <v>0</v>
      </c>
      <c r="J820" s="148">
        <v>0</v>
      </c>
      <c r="K820" s="397"/>
      <c r="L820" s="262"/>
      <c r="M820" s="29"/>
      <c r="N820" s="29"/>
    </row>
    <row r="821" spans="1:14" ht="19.5" customHeight="1" thickBot="1" x14ac:dyDescent="0.3">
      <c r="A821" s="168"/>
      <c r="B821" s="167"/>
      <c r="C821" s="106">
        <v>0</v>
      </c>
      <c r="D821" s="115" t="s">
        <v>14</v>
      </c>
      <c r="E821" s="122">
        <f>F821+G821+H821+J821</f>
        <v>16445171.399999991</v>
      </c>
      <c r="F821" s="146">
        <f>F69+F70+F71+F72+F73+F74+F75+F76+F77+F78+F79+F80+F81+F82+F83+F84+F85+F86+F87+F88+F89+F90+F91+F92+F93+F94+F95+F96+F97+F98+F99+F100+F101+F102+F103+F104+F105+F106+F107+F108+F109+F110+F111+F112+F113+F115+F116+F117+F118+F119+F120+F121+F122+F123+F124+F125+F126+F127+F128+F129+F130+F131+F132+F133+F134+F135+F136+F137+F138+F139+F140+F141+F142+F143+F144+F145+F146+F147+F148+F149+F150+F152+F151+F153+F154+F155+F156+F157+F158+F159+F160+F161+F162+F163+F164+F165+F166+F167+F168+F169+F170+F171+F172+F173+F174+F175+F176+F177+F179+F180+F181+F182+F183+F184+F185+F186+F187+F188+F189+F190+F191+F192+F193+F194+F195+F196+F197+F198+F199+F200+F201+F202+F203+F204+F205+F206+F207+F208+F209+F210+F211+F212+F213+F214+F215+F216+F217+F218+F219+F220+F221+F222+F223+F224+F225+F226+F227+F228+F229+F230+F231+F232+F233+F234+F235+F236+F237+F238+F239+F240+F241+F243+F244+F245+F246+F247+F248+F249+F250+F251+F252+F253+F254+F255+F256+F257+F258+F259+F260+F261+F262+F263+F264+F265+F266+F267+F268+F269+F270+F271+F272+F273+F274+F275+F276+F277+F278+F279+F280+F281+F282+F283+F284+F285+F286+F287+F288+F289+F290+F291+F292+F293+F294+F295+F296+F297+F298+F299+F300+F301+F302+F303+F304+F305+F307+F308+F309+F310+F311+F312+F313+F314+F315+F316+F317+F318+F319+F320+F321+F322+F323+F324+F325+F326+F327+F328+F329+F330+F331+F332+F333+F334+F335+F336+F337+F338+F339+F340+F341+F342+F343+F344+F345+F346+F347+F348+F349+F350+F351+F352+F353+F354+F355+F356+F357+F358+F359+F360+F362+F363+F364+F365+F366+F367+F368+F369+F370+F371+F372+F373+F374+F375+F376+F377+F378+F379+F380+F381+F382+F383+F384+F385+F386+F387+F388+F389+F390+F391+F392+F393+F394+F395+F396+F397+F398+F399+F400+F401+F402+F403+F404+F405+F406+F407+F408+F409+F410+F411+F412+F413+F414+F415+F417+F418+F419+F420+F421+F422+F423+F424+F425+F426+F427+F428+F429+F430+F431+F432+F433+F434+F435+F436+F437+F438+F439+F440+F441+F442+F443+F444+F445+F446+F447+F448+F449+F450+F451+F452+F453+F454+F455+F456+F457+F458+F459+F460+F461+F462+F463+F464+F465+F466+F467+F468+F469+F470+F471+F472+F473+F474+F475+F476+F477+F478+F479+F481+F482+F483+F484+F485+F486+F487+F488+F489+F490+F491+F492+F493+F494+F495+F496+F497+F498+F499+F500+F501+F502+F503+F504+F505+F506+F507+F508+F509+F510+F511+F512+F513+F514+F515+F516+F517+F518+F519+F520+F521+F522+F523+F524+F525+F526+F527+F528+F529+F530+F531+F532+F533+F534+F536+F537+F538+F539+F540+F541+F542+F543+F544+F545+F546+F547+F548+F549+F550+F551+F552+F553+F554+F555+F556+F557+F558+F559+F560+F561+F562+F563+F564+F565+F566+F567+F568+F569+F570+F571+F572+F573+F574+F575+F576+F577+F578+F579+F580+F582+F583+F584+F585+F586+F587+F588+F589+F590+F591+F592+F593+F594+F595+F596+F597+F598+F599+F601+F602+F603+F604+F605+F606+F607+F608+F609+F610+F611+F612+F613+F614+F615+F616+F617+F618+F619+F620+F621+F622+F623+F624+F625+F626+F627+F628+F629+F630+F631+F632+F633+F634+F635+F636+F638+F639+F640+F641+F642+F643+F644+F645+F646+F647+F648+F649+F650+F651+F652+F653+F654+F655+F656+F657+F658+F659+F660+F661+F662+F663+F664+F665+F666+F667+F668+F669+F670+F671+F672+F673+F674+F675+F676+F677+F678+F679+F680+F681+F682+F683+F684+F685+F686+F687+F688+F689+F690+F691+F693+F694+F695+F696+F697+F698+F699+F700+F701+F702+F703+F704+F705+F706+F707+F708+F709+F710+F711+F712+F713+F714+F715+F716+F717+F718+F719+F720+F721+F722+F723+F724+F725+F726+F727+F728+F729+F730+F731+F732+F733+F734+F735+F736+F737</f>
        <v>286648.3</v>
      </c>
      <c r="G821" s="147">
        <f>G78+G79+G80+G81+G82+G83+G84+G85+G86+G92+G93+G94+G95+G151+G152+G153+G154+G155+G156+G157+G158+G159+G165+G166+G167+G168+G297+G298+G309+G310+G311+G312+G313+G314+G315+G316+G317+G318+G319+G320+G321+G322+G323+G324+G325+G326+G327+G328+G329+G330+G331+G332+G333+G371+G372+G373+G374+G375+G376+G377+G378+G379+G380+G381+G386+G387+G388+G393+G395+G396+G397+G426+G427+G428+G429+G430+G431+G432+G433+G434+G471+G472+G473+G474+G475+G476+G477+G478+G479+G508+G512+G514+G515+G516+G518+G523+G524+G525+G527+G532+G533+G534+G538+G539+G540+G541+G542+G543+G544+G546+G551+G552+G553+G556+G560+G561+G562+G573+G574+G578+G579+G580+G612+G613+G614+G615+G616+G617+G618+G630+G634+G635+G636+G678+G679+G680+G681+G682+G687+G688+G689+G690+G691+G697+G698+G699+G700+G701+G707+G708+G709+G710+G716+G717+G718+G719</f>
        <v>10822131.199999992</v>
      </c>
      <c r="H821" s="147">
        <f>H69+H70+H71+H72+H73+H74+H75+H76+H77+H142+H143+H144+H145+H146+H147+H148+H149+H150+H224+H225+H226+H227+H228+H229+H230+H231+H232+H334+H335+H336+H337+H338+H339+H340+H341+H342+H343+H344+H345+H346+H347+H348+H349++H350+H351+H352+H353+H354+H355+H356+H357+H358+H359+H360+H363+H380+H381+H382+H384+H386+H387+H388+H393+H398+H399+H409+H410+H411+H412+H413+H414+H415+H417+H444+H445+H446+H447+H448+H449+H450+H451+H452+H453+H454+H455+H456+H481+H482+H483+H484+H485+H486+H487+H488+H489+H494+H495+H496+H497+H498++H508+H512+H518+H527+H528+H538+H539+H541+H542+H543+H544+H546+H556+H564+H573+H574+H583+H584+H593+H612+H613+H614+H615+H616+H617+H618+H630+H640+H641+H642+H643+H644+H645+H646+H650+H660+H661+H662+H663+H664+H669+H670+H671++H672+H673+H687+H688+H689+H690+H691+H707+H708+H709+H710+H716+H717+H725+H734+H753+H762+H763+H764+H765+H771+H772+H773+H774+H780+H493</f>
        <v>4385395.6999999983</v>
      </c>
      <c r="I821" s="147">
        <f>I69+I70+I71+I72+I73+I74+I75+I76+I142+I143+I144+I145+I146+I147+I148+I149+I224+I225+I226+I227+I228+I229+I230+I231+I297+I298+I299+I300+I301+I302+I303+I304+I307+I308+I309+I310+I311+I312+I313+I314+I316+I318+I317+I319+I320+I321+I322+I323+I325+I326+I327+I328+I329+I330+I331+I332+I334+I335+I336+I337+I338+I339+I340+I341+I343+I344+I345+I346+I347+I348+I349+I350+I352+I353+I354+I355+I356+I357+I358+I359+I362+I363+I364+I365+I366+I367+I368+I369+I371+I372+I373+I374+I375+I376+I377+I378+I380+I381+I382+I383+I384+I385+I386+I387+I389+I390+I391+I392+I393+I394+I395+I396+I398+I399+I400+I401+I402+I403+I404+I405+I407+I408+I409+I410+I411+I412+I413+I414+I417+I418+I419+I420+I421+I422+I423+I424+I426+I427+I428+I429+I430+I431+I432+I433+I435+I436+I437+I438+I439+I441+I442+I444+I445+I446+I447+I448+I449+I450+I451+I453+I454+I455+I456+I457+I458+I459+I460+I462+I463+I464+I465+I466+I467+I468+I469+I471+I472+I473+I474+I475+I476+I477+I478+I481+I482+I483+I484+I485+I486+I487+I488+I490+I491+I492+I493+I494+I495+I496+I497+I499+I500+I501+I502+I503+I504+I505+I506+I508+I509+I510+I511+I512+I513+I514+I515+I517+I518+I519+I520+I521+I522+I523+I524+I526+I527+I528+I529+I530+I531+I532+I533+I536+I537+I538+I539+I540+I541+I542+I543+I545+I546+I547+I548+I549+I550+I551+I552+I554+I555+I556+I557+I558+I559+I560+I561+I563+I564+I565+I566+I567+I568+I569+I570+I572+I573+I574+I575+I576+I577+I578+I579+I582+I583+I584+I585+I586+I587+I588+I589+I591+I592+I593+I594+I595+I596+I597+I598+I601+I602+I603+I604+I605+I606+I607+I608+I610+I611+I612+I613+I614+I615+I616+I617+I619+I620+I621+I622+I623+I624+I625+I626+I628+I629+I630+I631+I632+I633+I634+I635+I638+I639+I640+I641+I642+I643+I644+I645+I647+I648+I649+I650+I651+I652+I653+I654+I656+I657+I658+I659+I660+I661+I662+I663+I665+I666+I667+I668+I669+I670+I671+I672+I674+I675+I676+I677+I678+I679+I680+I681+I683+I684+I685+I686+I687+I688+I689+I690+I706+I707+I708+I709+I716+I717+I718+0.1+I729+I730+I731+I732+I733+I734+I735+I736+I737+I728+I719+I710+I701+I691+I682+I673+I664+I655+I646+I636+I627+I618+I609+I599+I590+I580+I562+I553+I544+I534+I525+I516+I507+I498+I489+I479+I470+I461+I452+I443+I434+I425+I415+I406+I397+I388+I379+I370+I360+I351+I342+I333+I324+I315+I305+I745-0.1</f>
        <v>86037.699999999983</v>
      </c>
      <c r="J821" s="114">
        <f>J69+J70+J71+J72+J73+J74+J75+J76+J78+J79+J80+J81+J82+J83+J84+J85+J96+J97+J98+J99+J100+J101+J102+J103+J105+J106+J108+J107+J109+J110+J111+J112+J115+J116+J117+J118+J119+J120+J122+J121+J124+J125+J126+J128+J127+J129+J130+J131+J133+J134+J135+J136+J137+J138+J139+J140+J142+J143+J144+J145+J146+J147+J148+J149+J151+J152+J153+J155+J154+J156+J157+J158+J169+J170+J171+J173+J172+J174+J175+J176+J179+J180+J181+J182+J183+J184+J185+J186+J188+J189+J190+J191+J192+J193+J194+J195+J197+J198+J199+J200+J201+J202+J203+J204+J206+J207+J208+J209+J210+J211+J212+J213+J215+J216+J217+J218+J219+J220+J221+J222+J224+J225+J226+J227+J228+J229+J230+J231+J233+J234+J235+J236+J237+J238+J239+J240+J243+J244+J245+J246+J247+J248+J249+J250+J261+J262+J263+J264+J265+J266+J267+J268+J270+J271+J272+J273+J274+J275+J276+J277+J279+J280+J281+J282+J283+J284+J285+J286+J288+J289+J290+J291+J292+J293+J294+J295+J297+J298+J299+J300+J301+J302+J303+J304+J307+J308+J309+J310+J311+J312+J313+J314+J316+J318+J317+J319+J320+J321+J322+J323+J325+J326+J327+J328+J329+J330+J331+J332+J334+J335+J336+J337+J338+J339+J340+J341+J343+J344+J345+J346+J347+J348+J349+J350+J352+J353+J354+J355+J356+J357+J358+J359+J362+J363+J364+J365+J366+J367+J368+J369+J371+J372+J373+J374+J375+J376+J377+J378+J380+J381+J382+J383+J384+J385+J386+J387+J389+J390+J391+J392+J393+J394+J395+J396+J398+J399+J400+J401+J402+J403+J404+J405+J407+J408+J409+J410+J411+J412+J413+J414+J417+J418+J419+J420+J421+J422+J423+J424+J427+J428+J429+J430+J431+J432+J433+J435+J436+J437+J438+J439+J441+J442+J444+J445+J446+J447+J448+J449+J450+J451+J453+J454+J455+J456+J457+J458+J459+J460+J462+J463+J464+J465+J466+J467+J468+J469+J471+J472+J473+J474+J475+J476+J477+J478+J481+J482+J483+J484+J485+J486+J487+J488+J490+J491+J492+J493+J494+J495+J496+J497+J499+J500+J501+J502+J503+J504+J505+J506+J508+J509+J510+J511+J512+J513+J514+J515+J517+J518+J519+J520+J521+J522+J523+J524+J526+J527+J528+J529+J530+J531+J532+J533+J536+J537+J538+J539+J540+J541+J542+J543+J545+J546+J547+J548+J549+J550+J551+J552+J554+J555+J556+J557+J558+J559+J560+J561+J563+J564+J565+J566+J567+J568+J569+J570+J572+J573+J574+J575+J576+J577+J578+J579+J582+J583+J584+J585+J586+J587+J588+J589+J591+J592+J593+J594+J595+J596+J597+J598+J601+J602+J603+J604+J605+J606+J607+J608+J610+J611+J612+J613+J614+J615+J616+J617+J619+J620+J621+J622+J623+J624+J625+J626+J628+J629+J630+J631+J632+J633+J634+J635+J638+J639+J640+J641+J642+J643+J644+J645+J647+J648+J649+J650+J651+J652+J653+J654+J656+J657+J658+J659+J660+J661+J662+J663+J665+J666+J667+J668+J669+J670+J671+J672+J674+J675+J676+J677+J678+J679+J680+J681+J683+J684+J685+J686+J687+J688+J689+J690+J737+J728+J719+J710+J701+J691+J682+J673+J664+J655+J646+J636+J627+J618+J609+J599+J590+J580+J562+J553+J544+J534+J525+J516+J507+J498+J489+J479+J470+J461+J452+J443+J434+J425+J415+J406+J397+J388+J379+J370+J360+J351+J342+J333+J324+J315+J305+J223+J141</f>
        <v>950996.2</v>
      </c>
      <c r="K821" s="105"/>
      <c r="L821" s="225"/>
      <c r="M821" s="29">
        <f>I745+I717+I716+I707+I691+I690+I689+I688+I687+I630+I618+I617+I616+I615+I614+I613+I612+I574+I573+I556+I546+I542+I541+I539+I538+I527+I518+I512+I508+I393+I381+I380</f>
        <v>86037.7</v>
      </c>
    </row>
    <row r="822" spans="1:14" ht="17.25" thickBot="1" x14ac:dyDescent="0.3">
      <c r="A822" s="40">
        <v>5</v>
      </c>
      <c r="B822" s="43" t="s">
        <v>5</v>
      </c>
      <c r="C822" s="41">
        <v>0</v>
      </c>
      <c r="D822" s="352" t="s">
        <v>181</v>
      </c>
      <c r="E822" s="353"/>
      <c r="F822" s="353"/>
      <c r="G822" s="353"/>
      <c r="H822" s="353"/>
      <c r="I822" s="353"/>
      <c r="J822" s="353"/>
      <c r="K822" s="353"/>
      <c r="L822" s="354"/>
      <c r="M822" s="29" t="e">
        <f>#REF!-H821</f>
        <v>#REF!</v>
      </c>
    </row>
    <row r="823" spans="1:14" ht="17.25" thickBot="1" x14ac:dyDescent="0.3">
      <c r="A823" s="355" t="s">
        <v>182</v>
      </c>
      <c r="B823" s="356"/>
      <c r="C823" s="356"/>
      <c r="D823" s="356"/>
      <c r="E823" s="356"/>
      <c r="F823" s="356"/>
      <c r="G823" s="356"/>
      <c r="H823" s="356"/>
      <c r="I823" s="356"/>
      <c r="J823" s="356"/>
      <c r="K823" s="356"/>
      <c r="L823" s="357"/>
      <c r="M823" s="29">
        <f>M824-G821</f>
        <v>-718741.19999998994</v>
      </c>
    </row>
    <row r="824" spans="1:14" ht="16.5" x14ac:dyDescent="0.25">
      <c r="A824" s="361" t="s">
        <v>183</v>
      </c>
      <c r="B824" s="364" t="s">
        <v>184</v>
      </c>
      <c r="C824" s="42">
        <v>0</v>
      </c>
      <c r="D824" s="5">
        <v>2018</v>
      </c>
      <c r="E824" s="21">
        <f>F824+G824+H824+J824</f>
        <v>35153.1</v>
      </c>
      <c r="F824" s="21">
        <v>0</v>
      </c>
      <c r="G824" s="21">
        <v>8142.6</v>
      </c>
      <c r="H824" s="21">
        <v>27010.5</v>
      </c>
      <c r="I824" s="21">
        <v>0</v>
      </c>
      <c r="J824" s="21">
        <v>0</v>
      </c>
      <c r="K824" s="257" t="s">
        <v>185</v>
      </c>
      <c r="L824" s="367" t="s">
        <v>186</v>
      </c>
      <c r="M824" s="29">
        <f>SUM(G647:G690,G601:G645,G554:G598,G508:G552,G453:G506,G407:G451,G362:G405,G316:G359,G261:G314,G197:G250,G151:G195,G96:G140,G78:G85)</f>
        <v>10103390.000000002</v>
      </c>
    </row>
    <row r="825" spans="1:14" ht="16.5" x14ac:dyDescent="0.25">
      <c r="A825" s="362"/>
      <c r="B825" s="365"/>
      <c r="C825" s="214">
        <v>0</v>
      </c>
      <c r="D825" s="4">
        <v>2019</v>
      </c>
      <c r="E825" s="19">
        <f t="shared" ref="E825:E840" si="33">F825+G825+H825+J825</f>
        <v>38169.300000000003</v>
      </c>
      <c r="F825" s="19">
        <v>0</v>
      </c>
      <c r="G825" s="19">
        <v>8689.5</v>
      </c>
      <c r="H825" s="19">
        <v>29479.8</v>
      </c>
      <c r="I825" s="19">
        <v>0</v>
      </c>
      <c r="J825" s="19">
        <v>0</v>
      </c>
      <c r="K825" s="258"/>
      <c r="L825" s="368"/>
    </row>
    <row r="826" spans="1:14" ht="16.5" x14ac:dyDescent="0.25">
      <c r="A826" s="362"/>
      <c r="B826" s="365"/>
      <c r="C826" s="214">
        <v>0</v>
      </c>
      <c r="D826" s="214">
        <v>2020</v>
      </c>
      <c r="E826" s="19">
        <f t="shared" si="33"/>
        <v>42060.7</v>
      </c>
      <c r="F826" s="23">
        <v>0</v>
      </c>
      <c r="G826" s="19">
        <v>10752.9</v>
      </c>
      <c r="H826" s="19">
        <v>31307.8</v>
      </c>
      <c r="I826" s="19">
        <v>0</v>
      </c>
      <c r="J826" s="19">
        <v>0</v>
      </c>
      <c r="K826" s="258"/>
      <c r="L826" s="368"/>
    </row>
    <row r="827" spans="1:14" ht="16.5" x14ac:dyDescent="0.25">
      <c r="A827" s="362"/>
      <c r="B827" s="365"/>
      <c r="C827" s="100">
        <v>0</v>
      </c>
      <c r="D827" s="214">
        <v>2021</v>
      </c>
      <c r="E827" s="19">
        <f t="shared" si="33"/>
        <v>43966.7</v>
      </c>
      <c r="F827" s="23">
        <v>0</v>
      </c>
      <c r="G827" s="19">
        <v>13600.6</v>
      </c>
      <c r="H827" s="19">
        <v>30366.1</v>
      </c>
      <c r="I827" s="19">
        <v>0</v>
      </c>
      <c r="J827" s="19">
        <v>0</v>
      </c>
      <c r="K827" s="258"/>
      <c r="L827" s="368"/>
    </row>
    <row r="828" spans="1:14" ht="16.5" x14ac:dyDescent="0.25">
      <c r="A828" s="362"/>
      <c r="B828" s="365"/>
      <c r="C828" s="100">
        <v>0</v>
      </c>
      <c r="D828" s="214">
        <v>2022</v>
      </c>
      <c r="E828" s="19">
        <f t="shared" si="33"/>
        <v>50085</v>
      </c>
      <c r="F828" s="23">
        <v>0</v>
      </c>
      <c r="G828" s="19">
        <f>13383.8+35.2+849+134.9+461.4</f>
        <v>14864.3</v>
      </c>
      <c r="H828" s="19">
        <v>35220.699999999997</v>
      </c>
      <c r="I828" s="19">
        <v>0</v>
      </c>
      <c r="J828" s="19">
        <v>0</v>
      </c>
      <c r="K828" s="258"/>
      <c r="L828" s="368"/>
    </row>
    <row r="829" spans="1:14" ht="16.5" x14ac:dyDescent="0.25">
      <c r="A829" s="362"/>
      <c r="B829" s="365"/>
      <c r="C829" s="100">
        <v>0</v>
      </c>
      <c r="D829" s="214">
        <v>2023</v>
      </c>
      <c r="E829" s="19">
        <f t="shared" si="33"/>
        <v>52728.9</v>
      </c>
      <c r="F829" s="23">
        <v>0</v>
      </c>
      <c r="G829" s="19">
        <f>15525.3+25.6+24.1</f>
        <v>15575</v>
      </c>
      <c r="H829" s="19">
        <f>36821.5+332.4</f>
        <v>37153.9</v>
      </c>
      <c r="I829" s="19">
        <v>0</v>
      </c>
      <c r="J829" s="19">
        <v>0</v>
      </c>
      <c r="K829" s="258"/>
      <c r="L829" s="368"/>
    </row>
    <row r="830" spans="1:14" ht="16.5" x14ac:dyDescent="0.25">
      <c r="A830" s="362"/>
      <c r="B830" s="365"/>
      <c r="C830" s="100">
        <v>0</v>
      </c>
      <c r="D830" s="214">
        <v>2024</v>
      </c>
      <c r="E830" s="19">
        <f t="shared" si="33"/>
        <v>65567.600000000006</v>
      </c>
      <c r="F830" s="23">
        <v>0</v>
      </c>
      <c r="G830" s="19">
        <f>16939.6+246-723</f>
        <v>16462.599999999999</v>
      </c>
      <c r="H830" s="138">
        <f>40756.1+6454+1894.9</f>
        <v>49105</v>
      </c>
      <c r="I830" s="19">
        <v>0</v>
      </c>
      <c r="J830" s="19">
        <v>0</v>
      </c>
      <c r="K830" s="258"/>
      <c r="L830" s="368"/>
    </row>
    <row r="831" spans="1:14" ht="16.5" x14ac:dyDescent="0.25">
      <c r="A831" s="362"/>
      <c r="B831" s="365"/>
      <c r="C831" s="101">
        <v>0</v>
      </c>
      <c r="D831" s="214">
        <v>2025</v>
      </c>
      <c r="E831" s="19">
        <f t="shared" si="33"/>
        <v>57747.9</v>
      </c>
      <c r="F831" s="23">
        <v>0</v>
      </c>
      <c r="G831" s="19">
        <f>17824.9-286.9</f>
        <v>17538</v>
      </c>
      <c r="H831" s="138">
        <v>40209.9</v>
      </c>
      <c r="I831" s="19">
        <v>0</v>
      </c>
      <c r="J831" s="19">
        <v>0</v>
      </c>
      <c r="K831" s="258"/>
      <c r="L831" s="368"/>
      <c r="M831" s="29">
        <f>SUM(H824:H840,H647:H690,H601:H645,H554:H598,H508:H552,H453:H506,H407:H451,H362:H405,H316:H359,H297:H314,H224:H231,H142:H149,H69:H76,H56:H63,H42:H49,H33:H40)</f>
        <v>4281605.3000000007</v>
      </c>
    </row>
    <row r="832" spans="1:14" ht="17.25" thickBot="1" x14ac:dyDescent="0.3">
      <c r="A832" s="363"/>
      <c r="B832" s="366"/>
      <c r="C832" s="136"/>
      <c r="D832" s="118">
        <v>2026</v>
      </c>
      <c r="E832" s="22">
        <f t="shared" si="33"/>
        <v>58261.599999999999</v>
      </c>
      <c r="F832" s="24">
        <v>0</v>
      </c>
      <c r="G832" s="22">
        <f>17798.1+572.1-318.5</f>
        <v>18051.699999999997</v>
      </c>
      <c r="H832" s="139">
        <v>40209.9</v>
      </c>
      <c r="I832" s="22">
        <v>0</v>
      </c>
      <c r="J832" s="22">
        <v>0</v>
      </c>
      <c r="K832" s="259"/>
      <c r="L832" s="369"/>
      <c r="M832" s="29"/>
    </row>
    <row r="833" spans="1:12" ht="16.5" x14ac:dyDescent="0.25">
      <c r="A833" s="361" t="s">
        <v>23</v>
      </c>
      <c r="B833" s="364" t="s">
        <v>24</v>
      </c>
      <c r="C833" s="108">
        <v>0</v>
      </c>
      <c r="D833" s="112">
        <v>2018</v>
      </c>
      <c r="E833" s="21">
        <f t="shared" si="33"/>
        <v>8798.2999999999993</v>
      </c>
      <c r="F833" s="21">
        <v>0</v>
      </c>
      <c r="G833" s="21">
        <v>0</v>
      </c>
      <c r="H833" s="21">
        <v>8798.2999999999993</v>
      </c>
      <c r="I833" s="21">
        <v>0</v>
      </c>
      <c r="J833" s="36">
        <v>0</v>
      </c>
      <c r="K833" s="370" t="s">
        <v>25</v>
      </c>
      <c r="L833" s="373" t="s">
        <v>26</v>
      </c>
    </row>
    <row r="834" spans="1:12" ht="16.5" x14ac:dyDescent="0.25">
      <c r="A834" s="362"/>
      <c r="B834" s="365"/>
      <c r="C834" s="109">
        <v>0</v>
      </c>
      <c r="D834" s="113">
        <v>2019</v>
      </c>
      <c r="E834" s="19">
        <f t="shared" si="33"/>
        <v>8535.7000000000007</v>
      </c>
      <c r="F834" s="19">
        <v>0</v>
      </c>
      <c r="G834" s="19">
        <v>0</v>
      </c>
      <c r="H834" s="19">
        <v>8535.7000000000007</v>
      </c>
      <c r="I834" s="19">
        <v>0</v>
      </c>
      <c r="J834" s="37">
        <v>0</v>
      </c>
      <c r="K834" s="371"/>
      <c r="L834" s="374"/>
    </row>
    <row r="835" spans="1:12" ht="16.5" x14ac:dyDescent="0.25">
      <c r="A835" s="362"/>
      <c r="B835" s="365"/>
      <c r="C835" s="109">
        <v>0</v>
      </c>
      <c r="D835" s="99">
        <v>2020</v>
      </c>
      <c r="E835" s="19">
        <f t="shared" si="33"/>
        <v>9713.2000000000007</v>
      </c>
      <c r="F835" s="23">
        <v>0</v>
      </c>
      <c r="G835" s="19">
        <v>1315.2</v>
      </c>
      <c r="H835" s="19">
        <v>8398</v>
      </c>
      <c r="I835" s="19">
        <v>0</v>
      </c>
      <c r="J835" s="37">
        <v>0</v>
      </c>
      <c r="K835" s="371"/>
      <c r="L835" s="374"/>
    </row>
    <row r="836" spans="1:12" ht="16.5" x14ac:dyDescent="0.25">
      <c r="A836" s="362"/>
      <c r="B836" s="365"/>
      <c r="C836" s="110">
        <v>0</v>
      </c>
      <c r="D836" s="99">
        <v>2021</v>
      </c>
      <c r="E836" s="19">
        <f t="shared" si="33"/>
        <v>9083.2000000000007</v>
      </c>
      <c r="F836" s="23">
        <v>0</v>
      </c>
      <c r="G836" s="19">
        <v>500</v>
      </c>
      <c r="H836" s="19">
        <v>8583.2000000000007</v>
      </c>
      <c r="I836" s="19">
        <v>0</v>
      </c>
      <c r="J836" s="37">
        <v>0</v>
      </c>
      <c r="K836" s="371"/>
      <c r="L836" s="374"/>
    </row>
    <row r="837" spans="1:12" ht="16.5" x14ac:dyDescent="0.25">
      <c r="A837" s="362"/>
      <c r="B837" s="365"/>
      <c r="C837" s="110">
        <v>0</v>
      </c>
      <c r="D837" s="99">
        <v>2022</v>
      </c>
      <c r="E837" s="19">
        <f t="shared" si="33"/>
        <v>11250.300000000001</v>
      </c>
      <c r="F837" s="23">
        <v>0</v>
      </c>
      <c r="G837" s="19">
        <f>1000-134.9</f>
        <v>865.1</v>
      </c>
      <c r="H837" s="19">
        <f>10395.2-3.7-6.3</f>
        <v>10385.200000000001</v>
      </c>
      <c r="I837" s="19">
        <v>0</v>
      </c>
      <c r="J837" s="37">
        <v>0</v>
      </c>
      <c r="K837" s="371"/>
      <c r="L837" s="374"/>
    </row>
    <row r="838" spans="1:12" ht="16.5" x14ac:dyDescent="0.25">
      <c r="A838" s="362"/>
      <c r="B838" s="365"/>
      <c r="C838" s="110">
        <v>0</v>
      </c>
      <c r="D838" s="99">
        <v>2023</v>
      </c>
      <c r="E838" s="19">
        <f t="shared" si="33"/>
        <v>12075.599999999999</v>
      </c>
      <c r="F838" s="23">
        <v>0</v>
      </c>
      <c r="G838" s="19">
        <f>1314.2+3.7-24.5</f>
        <v>1293.4000000000001</v>
      </c>
      <c r="H838" s="19">
        <f>10681.8+100.4</f>
        <v>10782.199999999999</v>
      </c>
      <c r="I838" s="19">
        <v>0</v>
      </c>
      <c r="J838" s="37">
        <v>0</v>
      </c>
      <c r="K838" s="371"/>
      <c r="L838" s="374"/>
    </row>
    <row r="839" spans="1:12" ht="16.5" x14ac:dyDescent="0.25">
      <c r="A839" s="362"/>
      <c r="B839" s="365"/>
      <c r="C839" s="110">
        <v>0</v>
      </c>
      <c r="D839" s="99">
        <v>2024</v>
      </c>
      <c r="E839" s="19">
        <f t="shared" si="33"/>
        <v>15211.199999999999</v>
      </c>
      <c r="F839" s="23">
        <v>0</v>
      </c>
      <c r="G839" s="19">
        <f>1527.5+200-307.2</f>
        <v>1420.3</v>
      </c>
      <c r="H839" s="178">
        <v>13790.9</v>
      </c>
      <c r="I839" s="19">
        <v>0</v>
      </c>
      <c r="J839" s="37">
        <v>0</v>
      </c>
      <c r="K839" s="371"/>
      <c r="L839" s="374"/>
    </row>
    <row r="840" spans="1:12" ht="17.25" thickBot="1" x14ac:dyDescent="0.3">
      <c r="A840" s="362"/>
      <c r="B840" s="365"/>
      <c r="C840" s="111">
        <v>0</v>
      </c>
      <c r="D840" s="99">
        <v>2025</v>
      </c>
      <c r="E840" s="19">
        <f t="shared" si="33"/>
        <v>13427.1</v>
      </c>
      <c r="F840" s="137">
        <v>0</v>
      </c>
      <c r="G840" s="19">
        <f>1828.5</f>
        <v>1828.5</v>
      </c>
      <c r="H840" s="138">
        <f>11598.6</f>
        <v>11598.6</v>
      </c>
      <c r="I840" s="19">
        <v>0</v>
      </c>
      <c r="J840" s="37">
        <v>0</v>
      </c>
      <c r="K840" s="371"/>
      <c r="L840" s="374"/>
    </row>
    <row r="841" spans="1:12" ht="17.25" thickBot="1" x14ac:dyDescent="0.3">
      <c r="A841" s="363"/>
      <c r="B841" s="366"/>
      <c r="C841" s="194"/>
      <c r="D841" s="195">
        <v>2026</v>
      </c>
      <c r="E841" s="20">
        <f>F841+G841+H841+J841</f>
        <v>14020.5</v>
      </c>
      <c r="F841" s="196">
        <v>0</v>
      </c>
      <c r="G841" s="20">
        <f>1921.9+500</f>
        <v>2421.9</v>
      </c>
      <c r="H841" s="140">
        <f>11598.6</f>
        <v>11598.6</v>
      </c>
      <c r="I841" s="20">
        <v>0</v>
      </c>
      <c r="J841" s="197">
        <v>0</v>
      </c>
      <c r="K841" s="372"/>
      <c r="L841" s="375"/>
    </row>
    <row r="842" spans="1:12" s="131" customFormat="1" ht="17.25" thickBot="1" x14ac:dyDescent="0.3">
      <c r="A842" s="78"/>
      <c r="B842" s="79"/>
      <c r="C842" s="80"/>
      <c r="D842" s="216" t="s">
        <v>14</v>
      </c>
      <c r="E842" s="198">
        <f>F842+G842+H842+J842</f>
        <v>545855.9</v>
      </c>
      <c r="F842" s="198">
        <f>SUM(F824:F841)</f>
        <v>0</v>
      </c>
      <c r="G842" s="198">
        <f>SUM(G824:G841)</f>
        <v>133321.60000000001</v>
      </c>
      <c r="H842" s="198">
        <f>SUM(H824:H841)</f>
        <v>412534.30000000005</v>
      </c>
      <c r="I842" s="198">
        <f>SUM(I824:I841)</f>
        <v>0</v>
      </c>
      <c r="J842" s="199">
        <f>SUM(J824:J841)</f>
        <v>0</v>
      </c>
      <c r="K842" s="76"/>
      <c r="L842" s="77"/>
    </row>
    <row r="843" spans="1:12" s="131" customFormat="1" ht="17.25" thickBot="1" x14ac:dyDescent="0.3">
      <c r="A843" s="217">
        <v>1</v>
      </c>
      <c r="B843" s="220">
        <v>2</v>
      </c>
      <c r="C843" s="220"/>
      <c r="D843" s="220">
        <v>3</v>
      </c>
      <c r="E843" s="220">
        <v>4</v>
      </c>
      <c r="F843" s="220">
        <v>5</v>
      </c>
      <c r="G843" s="220">
        <v>6</v>
      </c>
      <c r="H843" s="220">
        <v>7</v>
      </c>
      <c r="I843" s="220">
        <v>8</v>
      </c>
      <c r="J843" s="220">
        <v>9</v>
      </c>
      <c r="K843" s="69">
        <v>10</v>
      </c>
      <c r="L843" s="70">
        <v>11</v>
      </c>
    </row>
    <row r="844" spans="1:12" ht="16.5" x14ac:dyDescent="0.25">
      <c r="A844" s="358"/>
      <c r="B844" s="348" t="s">
        <v>14</v>
      </c>
      <c r="C844" s="200">
        <v>0</v>
      </c>
      <c r="D844" s="201">
        <v>2018</v>
      </c>
      <c r="E844" s="27">
        <f>F844+G844+H844+J844</f>
        <v>1360508.6999999997</v>
      </c>
      <c r="F844" s="27">
        <f>F11+F20+F33+F42+F56+F69+F78+F96+F105+F115+F133+F142+F151+F169+F179+F188+F197+F206+F215+F224+F233+F243+F261+F270+F279+F288+F297+F307+F316+F325+F334+F343+F352+F362+F371+F380+F389+F398+F407+F417+F426+F435+F444+F453+F462+F471+F481+F490+F499+F508+F517+F526+F536+F545+F554+F563+F572+F582+F591+F601+F610+F619+F628+F638+F647+F656+F665+F674+F683+F824+F833</f>
        <v>0</v>
      </c>
      <c r="G844" s="27">
        <f>G11+G20+G33+G42+G56+G69+G96+G105+G115+G133+G142+G169+G179+G188+G197+G206+G215+G224+G233+G243+G261+G270+G279+G288+G297+G307+G316+G325+G334+G343+G352+G362+G371+G380+G389+G398+G407+G417+G426+G435+G444+G453+G462+G471+G481+G490+G499+G508+G517+G526+G536+G545+G554+G563+G572+G582+G591+G601+G610+G619+G628+G638+G647+G656+G665+G674+G683+G824+G833</f>
        <v>925161.59999999986</v>
      </c>
      <c r="H844" s="27">
        <f>H11+H20+H33+H42+H56+H78+H96+H105+H115+H133+H151+H169+H179+H188+H197+H206+H215+H233+H243+H261+H270+H279+H288+H297+H307+H316+H325+H334+H343+H352+H362+H371+H380+H389+H398+H407+H417+H426+H435+H444+H453+H462+H471+H481+H490+H499+H508+H517+H526+H536+H545+H554+H563+H572+H582+H591+H601+H610+H619+H628+H638+H647+H656+H665+H674+H683+H824+H833+H124</f>
        <v>337545.1</v>
      </c>
      <c r="I844" s="27">
        <f t="shared" ref="I844:J847" si="34">I11+I20+I33+I42+I56+I69+I78+I96+I105+I115+I133+I142+I151+I169+I179+I188+I197+I206+I215+I224+I233+I243+I261+I270+I279+I288+I297+I307+I316+I325+I334+I343+I352+I362+I371+I380+I389+I398+I407+I417+I426+I435+I444+I453+I462+I471+I481+I490+I499+I508+I517+I526+I536+I545+I554+I563+I572+I582+I591+I601+I610+I619+I628+I638+I647+I656+I665+I674+I683+I824+I833</f>
        <v>7682.5</v>
      </c>
      <c r="J844" s="87">
        <f t="shared" si="34"/>
        <v>97802</v>
      </c>
      <c r="K844" s="273"/>
      <c r="L844" s="277"/>
    </row>
    <row r="845" spans="1:12" ht="16.5" x14ac:dyDescent="0.25">
      <c r="A845" s="359"/>
      <c r="B845" s="349"/>
      <c r="C845" s="81">
        <v>0</v>
      </c>
      <c r="D845" s="82">
        <v>2019</v>
      </c>
      <c r="E845" s="83">
        <f t="shared" ref="E845:E847" si="35">F845+G845+H845+J845</f>
        <v>1445064.3</v>
      </c>
      <c r="F845" s="83">
        <f>F12+F21+F34+F43+F57+F70+F79+F97+F106+F116+F134+F143+F152+F170+F180+F189+F198+F207+F216+F225+F234+F244+F262+F271+F280+F289+F298+F308+F317+F326+F335+F344+F353+F363+F372+F381+F390+F399+F408+F418+F427+F436+F445+F454+F463+F472+F482+F491+F500+F509+F518+F527+F537+F546+F555+F564+F573+F583+F592+F602+F611+F620+F629+F639+F648+F657+F666+F675+F684+F825+F834</f>
        <v>0</v>
      </c>
      <c r="G845" s="27">
        <f>G12+G21+G34+G43+G57+G70+G97+G106+G116+G134+G143+G170+G180+G189+G198+G207+G216+G225+G234+G244+G262+G271+G280+G289+G298+G308+G317+G326+G335+G344+G353+G363+G372+G381+G390+G399+G408+G418+G427+G436+G445+G454+G463+G472+G482+G491+G500+G509+G518+G527+G537+G546+G555+G564+G573+G583+G592+G602+G611+G620+G629+G639+G648+G657+G666+G675+G684+G825+G834</f>
        <v>980217.20000000007</v>
      </c>
      <c r="H845" s="27">
        <f>H12+H21+H34+H43+H57+H79+H97+H106+H116+H134+H152+H170+H180+H189+H198+H207+H216+H234+H244+H262+H271+H280+H289+H298+H308+H317+H326+H335+H344+H353+H363+H372+H381+H390+H399+H408+H418+H427+H436+H445+H454+H463+H472+H482+H491+H500+H509+H518+H527+H537+H546+H555+H564+H573+H583+H592+H602+H611+H620+H629+H639+H648+H657+H666+H675+H684+H825+H834+H125</f>
        <v>366465.8</v>
      </c>
      <c r="I845" s="83">
        <f t="shared" si="34"/>
        <v>7418.3000000000011</v>
      </c>
      <c r="J845" s="84">
        <f t="shared" si="34"/>
        <v>98381.3</v>
      </c>
      <c r="K845" s="274"/>
      <c r="L845" s="278"/>
    </row>
    <row r="846" spans="1:12" ht="16.5" x14ac:dyDescent="0.25">
      <c r="A846" s="359"/>
      <c r="B846" s="349"/>
      <c r="C846" s="81">
        <v>0</v>
      </c>
      <c r="D846" s="82">
        <v>2020</v>
      </c>
      <c r="E846" s="83">
        <f t="shared" si="35"/>
        <v>1553533.6999999997</v>
      </c>
      <c r="F846" s="83">
        <f>F13+F22+F35+F44+F58+F71+F80+F98+F107+F117+F135+F144+F153+F171+F181+F190+F199+F208+F217+F226+F235+F245+F263+F272+F281+F290+F299+F309+F318+F327+F336+F345+F354+F364+F373+F382+F391+F400+F409+F419+F428+F437+F446+F455+F464+F473+F483+F492+F501+F510+F519+F528+F538+F547+F556+F565+F574+F584+F593+F603+F612+F621+F630+F640+F649+F658+F667+F676+F685+F826+F835</f>
        <v>15103.2</v>
      </c>
      <c r="G846" s="27">
        <f>G13+G22+G35+G44+G58+G71+G98+G107+G117+G135+G144+G171+G181+G190+G199+G208+G217+G226+G235+G245+G263+G272+G281+G290+G299+G309+G318+G327+G336+G345+G354+G364+G373+G382+G391+G400+G409+G419+G428+G437+G446+G455+G464+G473+G483+G492+G501+G510+G519+G528+G538+G547+G556+G565+G574+G584+G593+G603+G612+G621+G630+G640+G649+G658+G667+G676+G685+G826+G835</f>
        <v>1048260.6999999998</v>
      </c>
      <c r="H846" s="27">
        <f>H13+H22+H35+H44+H58+H80+H98+H107+H117+H135+H153+H171+H181+H190+H199+H208+H217+H235+H245+H263+H272+H281+H290+H299+H309+H318+H327+H336+H345+H354+H364+H373+H382+H391+H400+H409+H419+H428+H437+H446+H455+H464+H473+H483+H492+H501+H510+H519+H528+H538+H547+H556+H565+H574+H584+H593+H603+H612+H621+H630+H640+H649+H658+H667+H676+H685+H826+H835+H126</f>
        <v>378600.89999999991</v>
      </c>
      <c r="I846" s="83">
        <f t="shared" si="34"/>
        <v>4346.3</v>
      </c>
      <c r="J846" s="84">
        <f t="shared" si="34"/>
        <v>111568.9</v>
      </c>
      <c r="K846" s="274"/>
      <c r="L846" s="278"/>
    </row>
    <row r="847" spans="1:12" ht="16.5" x14ac:dyDescent="0.25">
      <c r="A847" s="359"/>
      <c r="B847" s="349"/>
      <c r="C847" s="81">
        <v>0</v>
      </c>
      <c r="D847" s="82">
        <v>2021</v>
      </c>
      <c r="E847" s="83">
        <f t="shared" si="35"/>
        <v>1756160.3</v>
      </c>
      <c r="F847" s="83">
        <f>F14+F23+F36+F45+F59+F72+F81+F99+F108+F118+F136+F145+F154+F172+F182+F191+F200+F209+F218+F227+F236+F246+F264+F273+F282+F291+F300+F310+F319+F328+F337+F346+F355+F365+F374+F383+F392+F401+F410+F420+F429+F438+F447+F456+F465+F474+F484+F493+F502+F511+F520+F529+F539+F548+F557+F566+F575+F585+F594+F604+F613+F622+F631+F641+F650+F659+F668+F677+F686+F827+F836</f>
        <v>45309.599999999999</v>
      </c>
      <c r="G847" s="27">
        <f>G14+G23+G36+G45+G59+G72+G99+G108+G118+G136+G145+G172+G182+G191+G200+G209+G218+G227+G236+G246+G264+G273+G282+G291+G300+G310+G319+G328+G337+G346+G355+G365+G374+G383+G392+G401+G410+G420+G429+G438+G447+G456+G465+G474+G484+G493+G502+G511+G520+G529+G539+G548+G557+G566+G575+G585+G594+G604+G613+G622+G631+G641+G650+G659+G668+G677+G686+G827+G836</f>
        <v>1116904.6000000001</v>
      </c>
      <c r="H847" s="27">
        <f>H14+H23+H36+H45+H59+H81+H99+H108+H118+H136+H154+H172+H182+H191+H200+H209+H218+H236+H246+H264+H273+H282+H291+H300+H310+H319+H328+H337+H346+H355+H365+H374+H383+H392+H401+H410+H420+H429+H438+H447+H456+H465+H474+H484+H493+H502+H511+H520+H529+H539+H548+H557+H566+H575+H585+H594+H604+H613+H622+H631+H641+H650+H659+H668+H677+H686+H827+H836+H127</f>
        <v>501978.6999999999</v>
      </c>
      <c r="I847" s="83">
        <f t="shared" si="34"/>
        <v>7095.5</v>
      </c>
      <c r="J847" s="84">
        <f t="shared" si="34"/>
        <v>91967.4</v>
      </c>
      <c r="K847" s="274"/>
      <c r="L847" s="278"/>
    </row>
    <row r="848" spans="1:12" ht="16.5" x14ac:dyDescent="0.25">
      <c r="A848" s="359"/>
      <c r="B848" s="349"/>
      <c r="C848" s="85">
        <v>0</v>
      </c>
      <c r="D848" s="86">
        <v>2022</v>
      </c>
      <c r="E848" s="83">
        <f t="shared" ref="E848:E853" si="36">F848+G848+H848+J848</f>
        <v>1942154.1</v>
      </c>
      <c r="F848" s="83">
        <f>F15+F24+F37+F46+F60+F73+F82+F100+F109+F119+F137+F146+F155+F173+F183+F192+F201+F210+F219+F228+F237+F247+F265+F274+F283+F292+F301+F311+F320+F329+F338+F347+F356+F366+F375+F384+F393+F402+F411+F421+F430+F439+F448+F457+F466+F475+F485+F494+F503+F512+F521+F530+F540+F549+F558+F567+F576+F586+F595+F605+F614+F623+F632+F642+F651+F660+F669+F678+F687+F828+F837</f>
        <v>45544</v>
      </c>
      <c r="G848" s="27">
        <f>G15+G24+G37+G46+G60+G73+G100+G109+G119+G137+G146+G173+G183+G192+G201+G210+G219+G228+G237+G247+G265+G274+G283+G292+G301+G311+G320+G329+G338+G347+G356+G366+G375+G384+G393+G402+G411+G421+G430+G439+G448+G457+G466+G475+G485+G494+G503+G512+G521+G530+G540+G549+G558+G567+G576+G586+G595+G605+G614+G623+G632+G642+G651+G660+G669+G678+G687+G828+G837+G697</f>
        <v>1208536.0000000002</v>
      </c>
      <c r="H848" s="27">
        <f>H15+H24+H37+H46+H60+H82+H100+H109+H119+H137+H155+H173+H183+H192+H201+H210+H219+H237+H265+H274+H283+H292+H301+H311+H320+H329+H338+H347+H356+H366+H375+H384+H393+H402+H411+H421+H430+H439+H448+H457+H466+H475+H485+H494+H503+H512+H521+H530+H540+H549+H558+H567+H576+H586+H595+H605+H614+H623+H632+H642+H651+H660+H669+H678+H687+H828+H837+H128+H697+H706</f>
        <v>579043.89999999991</v>
      </c>
      <c r="I848" s="27">
        <f>I15+I24+I37+I46+I60+I73+I100+I109+I119+I137+I146+I173+I183+I192+I201+I210+I219+I228+I237+I247+I265+I274+I283+I292+I301+I311+I320+I329+I338+I347+I356+I366+I375+I384+I393+I402+I411+I421+I430+I439+I448+I457+I466+I475+I485+I494+I503+I512+I521+I530+I540+I549+I558+I567+I576+I586+I595+I605+I614+I623+I632+I642+I651+I660+I669+I678+I687+I828+I837+I697+I734</f>
        <v>20762.5</v>
      </c>
      <c r="J848" s="87">
        <f>J15+J24+J37+J46+J60+J82+J100+J109+J119+J137+J155+J173+J183+J192+J201+J210+J219+J237+J265+J274+J283+J292+J301+J311+J320+J329+J338+J347+J356+J366+J375+J384+J393+J402+J411+J421+J430+J439+J448+J457+J466+J475+J485+J494+J503+J512+J521+J530+J540+J549+J558+J567+J576+J586+J595+J605+J614+J623+J632+J642+J651+J660+J669+J678+J687+J828+J837+J128+J697</f>
        <v>109030.2</v>
      </c>
      <c r="K848" s="274"/>
      <c r="L848" s="278"/>
    </row>
    <row r="849" spans="1:13" ht="16.5" x14ac:dyDescent="0.25">
      <c r="A849" s="359"/>
      <c r="B849" s="349"/>
      <c r="C849" s="85"/>
      <c r="D849" s="86">
        <v>2023</v>
      </c>
      <c r="E849" s="83">
        <f t="shared" si="36"/>
        <v>2159738.3999999994</v>
      </c>
      <c r="F849" s="83">
        <f>F16+F25+F38+F47+F61+F74+F83+F101+F110+F120+F138+F147+F156+F174+F184+F193+F202+F211+F220+F229+F238+F248+F266+F275+F284+F293+F302+F312+F321+F330+F339+F348+F357+F367+F376+F385+F394+F403+F412+F422+F431+F440+F449+F458+F467+F476+F486+F495+F504+F513+F522+F531+F541+F550+F559+F568+F577+F587+F596+F606+F615+F624+F633+F643+F652+F661+F670+F679+F688+F829+F838+F734</f>
        <v>45856.4</v>
      </c>
      <c r="G849" s="27">
        <f>G16+G25+G38+G47+G61+G74+G101+G110+G120+G138+G147+G174+G184+G193+G202+G211+G220+G229+G238+G248+G266+G275+G284+G293+G302+G312+G321+G330+G339+G348+G357+G367+G376+G385+G394+G403+G412+G422+G431+G440+G449+G458+G467+G476+G486+G495+G504+G513+G522+G531+G541+G550+G559+G568+G577+G587+G596+G606+G615+G624+G633+G643+G652+G661+G670+G679+G688+G829+G838+G698+G707+G716+G725+G734</f>
        <v>1340019.0999999996</v>
      </c>
      <c r="H849" s="27">
        <f>H16+H25+H38+H47+H61+H83+H92+H101+H110+H120+H138+H156+H165+H174+H184+H193+H202+H211+H220+H238+H266+H275+H284+H293+H302+H312+H321+H330+H339+H348+H357+H367+H376+H385+H394+H403+H412+H422+H431+H440+H449+H458+H467+H476+H486+H495+H504+H513+H522+H531+H541+H550+H559+H568+H577+H587+H596+H606+H615+H624+H633+H643+H652+H661+H670+H679+H688+H829+H838+H129+H698+H707+H716+H725+H734+H753+H762+H771+H780</f>
        <v>663301.29999999981</v>
      </c>
      <c r="I849" s="83">
        <f>I16+I25+I38+I47+I61+I74+I83+I101+I110+I120+I138+I147+I156+I174+I184+I193+I202+I211+I220+I229+I238+I248+I266+I275+I284+I293+I302+I312+I321+I330+I339+I348+I357+I367+I376+I385+I394+I403+I412+I422+I431+I440+I449+I458+I467+I476+I486+I495+I504+I513+I522+I531+I541+I550+I559+I568+I577+I587+I596+I606+I615+I624+I633+I643+I652+I661+I670+I679+I688+I829+I838+I698+I707+I716+I817+I808+I799+I789+I780+I771+I762+I753+I744+I734+I725</f>
        <v>12037.800000000001</v>
      </c>
      <c r="J849" s="84">
        <f>J16+J25+J38+J47+J61+J74+J83+J101+J110+J120+J138+J147+J156+J174+J184+J193+J202+J211+J220+J229+J238+J248+J266+J275+J284+J293+J302+J312+J321+J330+J339+J348+J357+J367+J376+J385+J394+J403+J412+J422+J431+J440+J449+J458+J467+J476+J486+J495+J504+J513+J522+J531+J541+J550+J559+J568+J577+J587+J596+J606+J615+J624+J633+J643+J652+J661+J670+J679+J688+J829+J838</f>
        <v>110561.60000000001</v>
      </c>
      <c r="K849" s="274"/>
      <c r="L849" s="278"/>
    </row>
    <row r="850" spans="1:13" ht="16.5" x14ac:dyDescent="0.25">
      <c r="A850" s="359"/>
      <c r="B850" s="349"/>
      <c r="C850" s="85"/>
      <c r="D850" s="86">
        <v>2024</v>
      </c>
      <c r="E850" s="83">
        <f>F850+G850+H850+J850</f>
        <v>2282435.1</v>
      </c>
      <c r="F850" s="83">
        <f>F17+F26+F39+F48+F62+F75+F84+F102+F111+F121+F139+F148+F157+F175+F185+F194+F203+F212+F221+F230+F239+F249+F267+F276+F285+F294+F303+F313+F322+F331+F340+F349+F358+F368+F377+F386+F395+F404+F413+F423+F432+F441+F450+F459+F468+F477+F487+F496+F505+F514+F523+F532+F542+F551+F560+F569+F578+F588+F597+F607+F616+F625+F634+F644+F653+F662+F671+F680+F689+F830+F839+F735</f>
        <v>44919</v>
      </c>
      <c r="G850" s="27">
        <f>G17+G26+G39+G48+G62+G75+G102+G111+G121+G139+G148+G175+G185+G194+G203+G212+G221+G230+G239+G249+G267+G276+G285+G294+G303+G313+G322+G331+G340+G349+G358+G368+G377+G386+G395+G404+G413+G423+G432+G441+G450+G459+G468+G477+G487+G496+G505+G514+G523+G532+G542+G551+G560+G569+G578+G588+G597+G607+G616+G625+G634+G644+G653+G662+G671+G680+G689+G830+G839+G699+G708+G717+G726+G735</f>
        <v>1397496.3000000003</v>
      </c>
      <c r="H850" s="27">
        <f>H17+H26+H39+H48+H62+H84+H93+H102+H111+H121+H139+H157+H166+H175+H185+H194+H203+H212+H221+H239+H267+H276+H285+H294+H303+H313+H322+H331+H340+H349+H358+H368+H377+H386+H395+H404+H413+H423+H432+H441+H450+H459+H468+H477+H487+H496+H505+H514+H523+H532+H542+H551+H560+H569+H578+H588+H597+H607+H616+H625+H634+H644+H653+H662+H671+H680+H689+H830+H839+H130+H699+H708+H717+H726+H735+H763+H745+H818+H809+H800+H790+H781+H772</f>
        <v>729458.2</v>
      </c>
      <c r="I850" s="83">
        <f>I17+I26+I39+I48+I62+I75+I84+I102+I111+I121+I139+I148+I157+I175+I185+I194+I203+I212+I221+I230+I239+I249+I267+I276+I285+I294+I303+I313+I322+I331+I340+I349+I358+I368+I377+I386+I395+I404+I413+I423+I432+I441+I450+I459+I468+I477+I487+I496+I505+I514+I523+I532+I542+I551+I560+I569+I578+I588+I597+I607+I616+I625+I634+I644+I653+I662+I671+I680+I689+I830+I839+I699+I708+I717+I735+I745+I818+I809+I800+I790+I781+I772+I763+I754</f>
        <v>12466.500000000002</v>
      </c>
      <c r="J850" s="84">
        <f>J17+J26+J39+J48+J62+J75+J84+J102+J111+J121+J139+J148+J157+J175+J185+J194+J203+J212+J221+J230+J239+J249+J267+J276+J285+J294+J303+J313+J322+J331+J340+J349+J358+J368+J377+J386+J395+J404+J413+J423+J432+J441+J450+J459+J468+J477+J487+J496+J505+J514+J523+J532+J542+J551+J560+J569+J578+J588+J597+J607+J616+J625+J634+J644+J653+J662+J671+J680+J689+J830+J839</f>
        <v>110561.60000000001</v>
      </c>
      <c r="K850" s="274"/>
      <c r="L850" s="278"/>
      <c r="M850" s="29">
        <f>837241.6-H850</f>
        <v>107783.40000000002</v>
      </c>
    </row>
    <row r="851" spans="1:13" ht="16.5" x14ac:dyDescent="0.25">
      <c r="A851" s="359"/>
      <c r="B851" s="349"/>
      <c r="C851" s="85"/>
      <c r="D851" s="88">
        <v>2025</v>
      </c>
      <c r="E851" s="89">
        <f t="shared" si="36"/>
        <v>2215589.5000000005</v>
      </c>
      <c r="F851" s="83">
        <f>F18+F27+F40+F49+F63+F76+F85+F103+F112+F122+F140+F149+F158+F176+F186+F195+F204+F213+F222+F231+F240+F250+F268+F277+F286+F295+F304+F314+F323+F332+F341+F350+F359+F369+F378+F387+F396+F405+F414+F424+F433+F442+F451+F460+F469+F478+F488+F497+F506+F515+F524+F533+F543+F552+F561+F570+F579+F589+F598+F608+F617+F626+F635+F645+F654+F663+F672+F681+F690+F831+F840+F736</f>
        <v>44919</v>
      </c>
      <c r="G851" s="27">
        <f>G18+G27+G40+G49+G63+G76+G103+G112+G122+G140+G149+G176+G186+G195+G204+G213+G222+G231+G240+G250+G268+G277+G286+G295+G304+G314+G323+G332+G341+G350+G359+G369+G378+G387+G396+G405+G414+G424+G433+G442+G451+G460+G469+G478+G488+G497+G506+G515+G524+G533+G543+G552+G561+G570+G579+G589+G598+G608+G617+G626+G635+G645+G654+G663+G672+G681+G690+G831+G840+G700+G709+G718+G727+G736</f>
        <v>1437974.5000000002</v>
      </c>
      <c r="H851" s="27">
        <f>H18+H27+H40+H49+H63+H85+H94+H103+H112+H122+H140+H158+H167+H176+H186+H195+H204+H213+H222+H240+H268+H277+H286+H295+H304+H314+H323+H332+H341+H350+H359+H369+H378+H387+H396+H405+H414+H424+H433+H442+H451+H460+H469+H478+H488+H497+H506+H515+H524+H533+H543+H552+H561+H570+H579+H589+H598+H608+H617+H626+H635+H645+H654+H663+H672+H681+H690+H831+H840+H131+H700+H709+H718+H727+H736+H819+H810+H801+H791+H782+H773+H764+H755+H746</f>
        <v>622134.39999999991</v>
      </c>
      <c r="I851" s="89">
        <f>I18+I27+I40+I49+I63+I76+I85+I103+I112+I122+I140+I149+I158+I176+I186+I195+I204+I213+I222+I231+I240+I250+I268+I277+I286+I295+I304+I314+I323+I332+I341+I350+I359+I369+I378+I387+I396+I405+I414+I424+I433+I442+I451+I460+I469+I478+I488+I497+I506+I515+I524+I533+I543+I552+I561+I570+I579+I589+I598+I608+I617+I626+I635+I645+I654+I663+I672+I681+I690+I831+I840+I709+I700+I736+I819+I810+I801+I791+I782+I773+I764+I755+I746</f>
        <v>10160.299999999999</v>
      </c>
      <c r="J851" s="90">
        <f>J18+J27+J40+J49+J63+J76+J85+J103+J112+J122+J140+J149+J158+J176+J186+J195+J204+J213+J222+J231+J240+J250+J268+J277+J286+J295+J304+J314+J323+J332+J341+J350+J359+J369+J378+J387+J396+J405+J414+J424+J433+J442+J451+J460+J469+J478+J488+J497+J506+J515+J524+J533+J543+J552+J561+J570+J579+J589+J598+J608+J617+J626+J635+J645+J654+J663+J672+J681+J690+J831+J840</f>
        <v>110561.60000000001</v>
      </c>
      <c r="K851" s="274"/>
      <c r="L851" s="278"/>
      <c r="M851" s="29">
        <f>825527.8-H851</f>
        <v>203393.40000000014</v>
      </c>
    </row>
    <row r="852" spans="1:13" ht="17.25" thickBot="1" x14ac:dyDescent="0.3">
      <c r="A852" s="359"/>
      <c r="B852" s="350"/>
      <c r="C852" s="107"/>
      <c r="D852" s="119">
        <v>2026</v>
      </c>
      <c r="E852" s="89">
        <f>F852+G852+H852+J852</f>
        <v>2306698.2000000002</v>
      </c>
      <c r="F852" s="83">
        <f>F19+F28+F41+F50+F64+F77+F86+F104+F113+F123+F141+F150+F159+F177+F187+F196+F205+F214+F223+F232+F241+F251+F269+F278+F287+F296+F305+F315+F324+F333+F342+F351+F360+F370+F379+F388+F397+F406+F415+F425+F434+F443+F452+F461+F470+F479+F489+F498+F507+F516+F525+F534+F544+F553+F562+F571+F580+F590+F599+F609+F618+F627+F636+F646+F655+F664+F673+F682+F691+F832+F841+F737</f>
        <v>44997.1</v>
      </c>
      <c r="G852" s="27">
        <f>G19+G28+G41+G50+G64+G77+G104+G113+G123+G141+G150+G177+G187+G196+G205+G214+G223+G232+G241+G251+G269+G278+G287+G296+G305+G315+G324+G333+G342+G351+G360+G370+G379+G388+G397+G406+G415+G425+G434+G443+G452+G461+G470+G479+G489+G498+G507+G516+G525+G534+G544+G553+G562+G571+G580+G590+G599+G609+G618+G627+G636+G646+G655+G664+G673+G682+G691+G832+G841+G701+G710+G719+G728+G737</f>
        <v>1518282.8</v>
      </c>
      <c r="H852" s="27">
        <f>H19+H28+H41+H50+H64+H86+H95+H104+H113+H123+H141+H159+H168+H177+H187+H196+H205+H214+H223+H241+H269+H278+H287+H296+H305+H315+H324+H333+H342+H351+H360+H370+H379+H388+H397+H406+H415+H425+H434+H443+H452+H461+H470+H479+H489+H498+H507+H516+H525+H534+H544+H553+H562+H571+H580+H590+H599+H609+H618+H627+H636+H646+H655+H664+H673+H682+H691+H832+H841+H132+H701+H710+H719+H728+H737+H820+H811+H802+H792+H783+H774+H765+H756+H747</f>
        <v>632856.70000000007</v>
      </c>
      <c r="I852" s="89">
        <f>I19+I28+I41+I50+I64+I77+I86+I104+I113+I123+I141+I150+I159+I177+I187+I196+I205+I214+I223+I232+I241+I251+I269+I278+I287+I296+I305+I315+I324+I333+I342+I351+I360+I370+I379+I388+I397+I406+I415+I425+I434+I443+I452+I461+I470+I479+I489+I498+I507+I516+I525+I534+I544+I553+I562+I571+I580+I590+I599+I609+I618+I627+I636+I646+I655+I664+I673+I682+I691+I832+I841+I710+I701+I737+I820+I811+I802+I792+I783+I774+I765+I756+I747</f>
        <v>10668</v>
      </c>
      <c r="J852" s="90">
        <f>J19+J28+J41+J50+J64+J77+J86+J104+J113+J123+J141+J150+J159+J177+J187+J196+J205+J214+J223+J232+J241+J251+J269+J278+J287+J296+J305+J315+J324+J333+J342+J351+J360+J370+J379+J388+J397+J406+J415+J425+J434+J443+J452+J461+J470+J479+J489+J498+J507+J516+J525+J534+J544+J553+J562+J571+J580+J590+J599+J609+J618+J627+J636+J646+J655+J664+J673+J682+J691+J832+J841</f>
        <v>110561.60000000001</v>
      </c>
      <c r="K852" s="275"/>
      <c r="L852" s="279"/>
      <c r="M852" s="29">
        <f>827294.7-H852</f>
        <v>194437.99999999988</v>
      </c>
    </row>
    <row r="853" spans="1:13" ht="19.5" thickBot="1" x14ac:dyDescent="0.35">
      <c r="A853" s="360"/>
      <c r="B853" s="351"/>
      <c r="C853" s="72">
        <v>0</v>
      </c>
      <c r="D853" s="91"/>
      <c r="E853" s="92">
        <f t="shared" si="36"/>
        <v>17021882.300000001</v>
      </c>
      <c r="F853" s="73">
        <f>F844+F845+F846+F847+F848+F849+F850+F851+F852</f>
        <v>286648.3</v>
      </c>
      <c r="G853" s="73">
        <f>G844+G845+G846+G847+G848+G849+G850+G851+G852</f>
        <v>10972852.800000001</v>
      </c>
      <c r="H853" s="73">
        <f>H844+H845+H846+H847+H848+H849+H850+H851+H852</f>
        <v>4811384.9999999991</v>
      </c>
      <c r="I853" s="73">
        <f>I844+I845+I846+I847+I848+I849+I850+I851+I852</f>
        <v>92637.700000000012</v>
      </c>
      <c r="J853" s="74">
        <f>J844+J845+J846+J847+J848+J849+J850+J851+J852</f>
        <v>950996.2</v>
      </c>
      <c r="K853" s="276"/>
      <c r="L853" s="280"/>
    </row>
    <row r="854" spans="1:13" ht="18.75" x14ac:dyDescent="0.3">
      <c r="A854" s="172"/>
      <c r="B854" s="93"/>
      <c r="C854" s="49"/>
      <c r="D854" s="94"/>
      <c r="E854" s="95"/>
      <c r="F854" s="50"/>
      <c r="G854" s="50"/>
      <c r="H854" s="50"/>
      <c r="I854" s="50"/>
      <c r="J854" s="50"/>
      <c r="K854" s="51"/>
      <c r="L854" s="173"/>
    </row>
    <row r="855" spans="1:13" ht="20.100000000000001" customHeight="1" x14ac:dyDescent="0.25">
      <c r="A855" s="174"/>
      <c r="B855" s="263" t="s">
        <v>28</v>
      </c>
      <c r="C855" s="263"/>
      <c r="D855" s="263"/>
      <c r="E855" s="263"/>
      <c r="F855" s="263"/>
      <c r="G855" s="263"/>
      <c r="H855" s="263"/>
      <c r="I855" s="263"/>
      <c r="J855" s="263"/>
      <c r="K855" s="263"/>
      <c r="L855" s="264"/>
    </row>
    <row r="856" spans="1:13" ht="20.100000000000001" customHeight="1" x14ac:dyDescent="0.25">
      <c r="A856" s="174"/>
      <c r="B856" s="263"/>
      <c r="C856" s="263"/>
      <c r="D856" s="263"/>
      <c r="E856" s="263"/>
      <c r="F856" s="263"/>
      <c r="G856" s="263"/>
      <c r="H856" s="263"/>
      <c r="I856" s="263"/>
      <c r="J856" s="263"/>
      <c r="K856" s="263"/>
      <c r="L856" s="264"/>
    </row>
    <row r="857" spans="1:13" ht="20.100000000000001" customHeight="1" x14ac:dyDescent="0.25">
      <c r="A857" s="174"/>
      <c r="B857" s="263"/>
      <c r="C857" s="263"/>
      <c r="D857" s="263"/>
      <c r="E857" s="263"/>
      <c r="F857" s="263"/>
      <c r="G857" s="263"/>
      <c r="H857" s="263"/>
      <c r="I857" s="263"/>
      <c r="J857" s="263"/>
      <c r="K857" s="263"/>
      <c r="L857" s="264"/>
    </row>
    <row r="858" spans="1:13" ht="20.100000000000001" customHeight="1" x14ac:dyDescent="0.25">
      <c r="A858" s="174"/>
      <c r="B858" s="263" t="s">
        <v>29</v>
      </c>
      <c r="C858" s="263"/>
      <c r="D858" s="263"/>
      <c r="E858" s="263"/>
      <c r="F858" s="263"/>
      <c r="G858" s="263"/>
      <c r="H858" s="263"/>
      <c r="I858" s="263"/>
      <c r="J858" s="263"/>
      <c r="K858" s="263"/>
      <c r="L858" s="264"/>
    </row>
    <row r="859" spans="1:13" ht="58.5" customHeight="1" x14ac:dyDescent="0.25">
      <c r="A859" s="174"/>
      <c r="B859" s="263"/>
      <c r="C859" s="263"/>
      <c r="D859" s="263"/>
      <c r="E859" s="263"/>
      <c r="F859" s="263"/>
      <c r="G859" s="263"/>
      <c r="H859" s="263"/>
      <c r="I859" s="263"/>
      <c r="J859" s="263"/>
      <c r="K859" s="263"/>
      <c r="L859" s="264"/>
    </row>
    <row r="860" spans="1:13" ht="20.100000000000001" customHeight="1" x14ac:dyDescent="0.25">
      <c r="A860" s="174"/>
      <c r="B860" s="263" t="s">
        <v>27</v>
      </c>
      <c r="C860" s="263"/>
      <c r="D860" s="263"/>
      <c r="E860" s="263"/>
      <c r="F860" s="263"/>
      <c r="G860" s="263"/>
      <c r="H860" s="263"/>
      <c r="I860" s="263"/>
      <c r="J860" s="263"/>
      <c r="K860" s="263"/>
      <c r="L860" s="264"/>
    </row>
    <row r="861" spans="1:13" ht="20.100000000000001" customHeight="1" x14ac:dyDescent="0.25">
      <c r="A861" s="174"/>
      <c r="B861" s="263"/>
      <c r="C861" s="263"/>
      <c r="D861" s="263"/>
      <c r="E861" s="263"/>
      <c r="F861" s="263"/>
      <c r="G861" s="263"/>
      <c r="H861" s="263"/>
      <c r="I861" s="263"/>
      <c r="J861" s="263"/>
      <c r="K861" s="263"/>
      <c r="L861" s="264"/>
    </row>
    <row r="862" spans="1:13" ht="20.100000000000001" customHeight="1" x14ac:dyDescent="0.25">
      <c r="A862" s="174"/>
      <c r="B862" s="263" t="s">
        <v>224</v>
      </c>
      <c r="C862" s="263"/>
      <c r="D862" s="263"/>
      <c r="E862" s="263"/>
      <c r="F862" s="263"/>
      <c r="G862" s="263"/>
      <c r="H862" s="263"/>
      <c r="I862" s="263"/>
      <c r="J862" s="263"/>
      <c r="K862" s="263"/>
      <c r="L862" s="264"/>
    </row>
    <row r="863" spans="1:13" ht="41.25" customHeight="1" x14ac:dyDescent="0.25">
      <c r="A863" s="174"/>
      <c r="B863" s="263"/>
      <c r="C863" s="263"/>
      <c r="D863" s="263"/>
      <c r="E863" s="263"/>
      <c r="F863" s="263"/>
      <c r="G863" s="263"/>
      <c r="H863" s="263"/>
      <c r="I863" s="263"/>
      <c r="J863" s="263"/>
      <c r="K863" s="263"/>
      <c r="L863" s="264"/>
    </row>
    <row r="864" spans="1:13" ht="101.25" customHeight="1" x14ac:dyDescent="0.25">
      <c r="A864" s="174"/>
      <c r="B864" s="263" t="s">
        <v>348</v>
      </c>
      <c r="C864" s="263"/>
      <c r="D864" s="263"/>
      <c r="E864" s="263"/>
      <c r="F864" s="263"/>
      <c r="G864" s="263"/>
      <c r="H864" s="263"/>
      <c r="I864" s="263"/>
      <c r="J864" s="263"/>
      <c r="K864" s="263"/>
      <c r="L864" s="264"/>
    </row>
    <row r="865" spans="1:12" ht="18.75" x14ac:dyDescent="0.25">
      <c r="A865" s="174"/>
      <c r="B865" s="209"/>
      <c r="C865" s="209"/>
      <c r="D865" s="209"/>
      <c r="E865" s="209"/>
      <c r="F865" s="209"/>
      <c r="G865" s="209"/>
      <c r="H865" s="209"/>
      <c r="I865" s="209"/>
      <c r="J865" s="209"/>
      <c r="K865" s="209"/>
      <c r="L865" s="210"/>
    </row>
    <row r="866" spans="1:12" ht="31.5" thickBot="1" x14ac:dyDescent="0.35">
      <c r="A866" s="174"/>
      <c r="B866" s="284" t="s">
        <v>196</v>
      </c>
      <c r="C866" s="284"/>
      <c r="D866" s="284"/>
      <c r="E866" s="215"/>
      <c r="F866" s="215"/>
      <c r="G866" s="175"/>
      <c r="H866" s="175"/>
      <c r="I866" s="175"/>
      <c r="J866" s="175"/>
      <c r="K866" s="176" t="s">
        <v>197</v>
      </c>
      <c r="L866" s="177"/>
    </row>
    <row r="867" spans="1:12" s="131" customFormat="1" ht="21" thickBot="1" x14ac:dyDescent="0.35">
      <c r="A867" s="202"/>
      <c r="B867" s="203"/>
      <c r="C867" s="203">
        <v>0</v>
      </c>
      <c r="D867" s="204"/>
      <c r="E867" s="204"/>
      <c r="F867" s="204"/>
      <c r="G867" s="205"/>
      <c r="H867" s="206"/>
      <c r="I867" s="204"/>
      <c r="J867" s="204"/>
      <c r="K867" s="207"/>
      <c r="L867" s="208"/>
    </row>
  </sheetData>
  <mergeCells count="381">
    <mergeCell ref="K812:K820"/>
    <mergeCell ref="L812:L820"/>
    <mergeCell ref="A812:A820"/>
    <mergeCell ref="B812:B820"/>
    <mergeCell ref="B784:B792"/>
    <mergeCell ref="A784:A792"/>
    <mergeCell ref="K784:K792"/>
    <mergeCell ref="L784:L792"/>
    <mergeCell ref="B794:B802"/>
    <mergeCell ref="A794:A802"/>
    <mergeCell ref="K794:K802"/>
    <mergeCell ref="L794:L802"/>
    <mergeCell ref="A803:A811"/>
    <mergeCell ref="B803:B811"/>
    <mergeCell ref="K803:K811"/>
    <mergeCell ref="L803:L811"/>
    <mergeCell ref="B11:B19"/>
    <mergeCell ref="B20:B28"/>
    <mergeCell ref="B56:B64"/>
    <mergeCell ref="A115:A141"/>
    <mergeCell ref="A179:A223"/>
    <mergeCell ref="A224:A241"/>
    <mergeCell ref="B591:B599"/>
    <mergeCell ref="A582:A599"/>
    <mergeCell ref="A316:A324"/>
    <mergeCell ref="A307:A315"/>
    <mergeCell ref="A297:A305"/>
    <mergeCell ref="A243:A296"/>
    <mergeCell ref="B490:B498"/>
    <mergeCell ref="A490:A498"/>
    <mergeCell ref="B499:B507"/>
    <mergeCell ref="A499:A507"/>
    <mergeCell ref="A508:A516"/>
    <mergeCell ref="B508:B516"/>
    <mergeCell ref="A398:A406"/>
    <mergeCell ref="A389:A397"/>
    <mergeCell ref="A380:A388"/>
    <mergeCell ref="A371:A379"/>
    <mergeCell ref="A362:A370"/>
    <mergeCell ref="A352:A360"/>
    <mergeCell ref="B398:B406"/>
    <mergeCell ref="B407:B415"/>
    <mergeCell ref="B417:B425"/>
    <mergeCell ref="B426:B434"/>
    <mergeCell ref="A343:A351"/>
    <mergeCell ref="A334:A342"/>
    <mergeCell ref="A325:A333"/>
    <mergeCell ref="A481:A489"/>
    <mergeCell ref="A471:A479"/>
    <mergeCell ref="A462:A470"/>
    <mergeCell ref="A453:A461"/>
    <mergeCell ref="A444:A452"/>
    <mergeCell ref="A435:A443"/>
    <mergeCell ref="A426:A434"/>
    <mergeCell ref="A417:A425"/>
    <mergeCell ref="A407:A415"/>
    <mergeCell ref="B197:B205"/>
    <mergeCell ref="B206:B214"/>
    <mergeCell ref="B215:B223"/>
    <mergeCell ref="B224:B232"/>
    <mergeCell ref="B233:B241"/>
    <mergeCell ref="B243:B251"/>
    <mergeCell ref="B252:B260"/>
    <mergeCell ref="B261:B269"/>
    <mergeCell ref="B270:B278"/>
    <mergeCell ref="B124:B132"/>
    <mergeCell ref="B133:B141"/>
    <mergeCell ref="B142:B150"/>
    <mergeCell ref="B151:B159"/>
    <mergeCell ref="B160:B168"/>
    <mergeCell ref="B169:B177"/>
    <mergeCell ref="A142:A177"/>
    <mergeCell ref="B179:B187"/>
    <mergeCell ref="B188:B196"/>
    <mergeCell ref="B69:B77"/>
    <mergeCell ref="B78:B86"/>
    <mergeCell ref="B87:B95"/>
    <mergeCell ref="B96:B104"/>
    <mergeCell ref="B105:B113"/>
    <mergeCell ref="A69:A113"/>
    <mergeCell ref="B33:B41"/>
    <mergeCell ref="B42:B50"/>
    <mergeCell ref="B115:B123"/>
    <mergeCell ref="K56:K64"/>
    <mergeCell ref="L56:L64"/>
    <mergeCell ref="K42:K50"/>
    <mergeCell ref="L42:L50"/>
    <mergeCell ref="D67:L67"/>
    <mergeCell ref="K51:L51"/>
    <mergeCell ref="A55:L55"/>
    <mergeCell ref="D54:L54"/>
    <mergeCell ref="A20:A28"/>
    <mergeCell ref="A33:A41"/>
    <mergeCell ref="A42:A50"/>
    <mergeCell ref="A56:A64"/>
    <mergeCell ref="L224:L241"/>
    <mergeCell ref="K224:K241"/>
    <mergeCell ref="K179:K223"/>
    <mergeCell ref="L179:L223"/>
    <mergeCell ref="L142:L177"/>
    <mergeCell ref="K115:K141"/>
    <mergeCell ref="L115:L141"/>
    <mergeCell ref="K69:K113"/>
    <mergeCell ref="L69:L113"/>
    <mergeCell ref="K142:K177"/>
    <mergeCell ref="K563:K571"/>
    <mergeCell ref="L563:L571"/>
    <mergeCell ref="B563:B571"/>
    <mergeCell ref="A563:A571"/>
    <mergeCell ref="A554:A562"/>
    <mergeCell ref="B554:B562"/>
    <mergeCell ref="K554:K562"/>
    <mergeCell ref="L554:L562"/>
    <mergeCell ref="C572:C579"/>
    <mergeCell ref="L591:L599"/>
    <mergeCell ref="K591:K599"/>
    <mergeCell ref="K582:K590"/>
    <mergeCell ref="L582:L590"/>
    <mergeCell ref="B582:B590"/>
    <mergeCell ref="C582:C589"/>
    <mergeCell ref="C591:C598"/>
    <mergeCell ref="C601:C608"/>
    <mergeCell ref="A572:A580"/>
    <mergeCell ref="B572:B580"/>
    <mergeCell ref="K572:K580"/>
    <mergeCell ref="L572:L580"/>
    <mergeCell ref="L610:L618"/>
    <mergeCell ref="K610:K618"/>
    <mergeCell ref="B610:B618"/>
    <mergeCell ref="A610:A618"/>
    <mergeCell ref="C610:C617"/>
    <mergeCell ref="C619:C626"/>
    <mergeCell ref="A601:A609"/>
    <mergeCell ref="B601:B609"/>
    <mergeCell ref="K601:K609"/>
    <mergeCell ref="L601:L609"/>
    <mergeCell ref="A638:A646"/>
    <mergeCell ref="B638:B646"/>
    <mergeCell ref="K638:K646"/>
    <mergeCell ref="L638:L646"/>
    <mergeCell ref="L628:L636"/>
    <mergeCell ref="A619:A627"/>
    <mergeCell ref="B619:B627"/>
    <mergeCell ref="K619:K627"/>
    <mergeCell ref="L619:L627"/>
    <mergeCell ref="K674:K682"/>
    <mergeCell ref="L674:L682"/>
    <mergeCell ref="A665:A673"/>
    <mergeCell ref="B665:B673"/>
    <mergeCell ref="K665:K673"/>
    <mergeCell ref="L665:L673"/>
    <mergeCell ref="L656:L664"/>
    <mergeCell ref="L647:L655"/>
    <mergeCell ref="K647:K655"/>
    <mergeCell ref="B647:B655"/>
    <mergeCell ref="A647:A655"/>
    <mergeCell ref="B824:B832"/>
    <mergeCell ref="K824:K832"/>
    <mergeCell ref="L824:L832"/>
    <mergeCell ref="K833:K841"/>
    <mergeCell ref="L833:L841"/>
    <mergeCell ref="A729:A737"/>
    <mergeCell ref="B729:B737"/>
    <mergeCell ref="K729:K737"/>
    <mergeCell ref="L729:L737"/>
    <mergeCell ref="A757:A765"/>
    <mergeCell ref="B757:B765"/>
    <mergeCell ref="K757:K765"/>
    <mergeCell ref="L757:L765"/>
    <mergeCell ref="A739:A747"/>
    <mergeCell ref="B739:B747"/>
    <mergeCell ref="K739:K747"/>
    <mergeCell ref="A748:A756"/>
    <mergeCell ref="B748:B756"/>
    <mergeCell ref="K748:K756"/>
    <mergeCell ref="L739:L747"/>
    <mergeCell ref="L748:L756"/>
    <mergeCell ref="A766:A774"/>
    <mergeCell ref="B766:B774"/>
    <mergeCell ref="K766:K774"/>
    <mergeCell ref="B844:B853"/>
    <mergeCell ref="D822:L822"/>
    <mergeCell ref="A823:L823"/>
    <mergeCell ref="C683:C690"/>
    <mergeCell ref="C628:C635"/>
    <mergeCell ref="C638:C645"/>
    <mergeCell ref="A844:A853"/>
    <mergeCell ref="C656:C663"/>
    <mergeCell ref="B683:B691"/>
    <mergeCell ref="K683:K691"/>
    <mergeCell ref="A656:A664"/>
    <mergeCell ref="B656:B664"/>
    <mergeCell ref="K656:K664"/>
    <mergeCell ref="A628:A636"/>
    <mergeCell ref="B628:B636"/>
    <mergeCell ref="K628:K636"/>
    <mergeCell ref="B720:B728"/>
    <mergeCell ref="A720:A728"/>
    <mergeCell ref="K720:K728"/>
    <mergeCell ref="L720:L728"/>
    <mergeCell ref="A683:A691"/>
    <mergeCell ref="A833:A841"/>
    <mergeCell ref="B833:B841"/>
    <mergeCell ref="A824:A832"/>
    <mergeCell ref="B711:B719"/>
    <mergeCell ref="C674:C681"/>
    <mergeCell ref="C665:C672"/>
    <mergeCell ref="A711:A719"/>
    <mergeCell ref="C545:C552"/>
    <mergeCell ref="C554:C561"/>
    <mergeCell ref="C563:C570"/>
    <mergeCell ref="L545:L553"/>
    <mergeCell ref="K545:K553"/>
    <mergeCell ref="B545:B553"/>
    <mergeCell ref="A545:A553"/>
    <mergeCell ref="A693:A701"/>
    <mergeCell ref="B693:B701"/>
    <mergeCell ref="K693:K701"/>
    <mergeCell ref="L693:L701"/>
    <mergeCell ref="L683:L691"/>
    <mergeCell ref="K711:K719"/>
    <mergeCell ref="L711:L719"/>
    <mergeCell ref="B702:B710"/>
    <mergeCell ref="A702:A710"/>
    <mergeCell ref="K702:K710"/>
    <mergeCell ref="L702:L710"/>
    <mergeCell ref="A674:A682"/>
    <mergeCell ref="B674:B682"/>
    <mergeCell ref="C517:C524"/>
    <mergeCell ref="C526:C533"/>
    <mergeCell ref="C536:C543"/>
    <mergeCell ref="A536:A544"/>
    <mergeCell ref="B536:B544"/>
    <mergeCell ref="K536:K544"/>
    <mergeCell ref="L536:L544"/>
    <mergeCell ref="L526:L534"/>
    <mergeCell ref="L517:L525"/>
    <mergeCell ref="K517:K525"/>
    <mergeCell ref="K526:K534"/>
    <mergeCell ref="B517:B525"/>
    <mergeCell ref="A517:A525"/>
    <mergeCell ref="B526:B534"/>
    <mergeCell ref="A526:A534"/>
    <mergeCell ref="C490:C497"/>
    <mergeCell ref="C499:C506"/>
    <mergeCell ref="C508:C515"/>
    <mergeCell ref="K499:K507"/>
    <mergeCell ref="L499:L507"/>
    <mergeCell ref="L490:L498"/>
    <mergeCell ref="K490:K498"/>
    <mergeCell ref="C462:C469"/>
    <mergeCell ref="C471:C478"/>
    <mergeCell ref="C481:C488"/>
    <mergeCell ref="K481:K489"/>
    <mergeCell ref="L481:L489"/>
    <mergeCell ref="K471:K479"/>
    <mergeCell ref="L471:L479"/>
    <mergeCell ref="K462:K470"/>
    <mergeCell ref="L462:L470"/>
    <mergeCell ref="K508:K516"/>
    <mergeCell ref="L508:L516"/>
    <mergeCell ref="L243:L287"/>
    <mergeCell ref="L307:L315"/>
    <mergeCell ref="K307:K315"/>
    <mergeCell ref="K453:K461"/>
    <mergeCell ref="K444:K452"/>
    <mergeCell ref="L444:L452"/>
    <mergeCell ref="L435:L443"/>
    <mergeCell ref="K435:K443"/>
    <mergeCell ref="B435:B443"/>
    <mergeCell ref="B444:B452"/>
    <mergeCell ref="B453:B461"/>
    <mergeCell ref="B279:B287"/>
    <mergeCell ref="B288:B296"/>
    <mergeCell ref="B297:B305"/>
    <mergeCell ref="B307:B315"/>
    <mergeCell ref="B316:B324"/>
    <mergeCell ref="B325:B333"/>
    <mergeCell ref="B334:B342"/>
    <mergeCell ref="B343:B351"/>
    <mergeCell ref="B352:B360"/>
    <mergeCell ref="B362:B370"/>
    <mergeCell ref="B371:B379"/>
    <mergeCell ref="B380:B388"/>
    <mergeCell ref="B389:B397"/>
    <mergeCell ref="A11:A19"/>
    <mergeCell ref="C371:C378"/>
    <mergeCell ref="L343:L351"/>
    <mergeCell ref="C307:C314"/>
    <mergeCell ref="C316:C323"/>
    <mergeCell ref="H5:H6"/>
    <mergeCell ref="I5:I6"/>
    <mergeCell ref="G5:G6"/>
    <mergeCell ref="D4:D6"/>
    <mergeCell ref="B4:B6"/>
    <mergeCell ref="A10:L10"/>
    <mergeCell ref="A4:A6"/>
    <mergeCell ref="F5:F6"/>
    <mergeCell ref="J5:J6"/>
    <mergeCell ref="K4:K6"/>
    <mergeCell ref="D8:L8"/>
    <mergeCell ref="D9:L9"/>
    <mergeCell ref="L4:L6"/>
    <mergeCell ref="F4:J4"/>
    <mergeCell ref="E4:E6"/>
    <mergeCell ref="K297:K305"/>
    <mergeCell ref="L297:L305"/>
    <mergeCell ref="K243:K296"/>
    <mergeCell ref="L288:L296"/>
    <mergeCell ref="K362:K370"/>
    <mergeCell ref="K352:K360"/>
    <mergeCell ref="L352:L360"/>
    <mergeCell ref="L766:L774"/>
    <mergeCell ref="D1:J3"/>
    <mergeCell ref="B866:D866"/>
    <mergeCell ref="B862:L863"/>
    <mergeCell ref="B860:L861"/>
    <mergeCell ref="B858:L859"/>
    <mergeCell ref="B855:L857"/>
    <mergeCell ref="A68:L68"/>
    <mergeCell ref="C325:C332"/>
    <mergeCell ref="K29:L29"/>
    <mergeCell ref="D53:L53"/>
    <mergeCell ref="D66:L66"/>
    <mergeCell ref="D30:L30"/>
    <mergeCell ref="D31:L31"/>
    <mergeCell ref="A32:L32"/>
    <mergeCell ref="K33:K41"/>
    <mergeCell ref="L33:L41"/>
    <mergeCell ref="K20:K28"/>
    <mergeCell ref="L20:L28"/>
    <mergeCell ref="K11:K19"/>
    <mergeCell ref="L11:L19"/>
    <mergeCell ref="L453:L461"/>
    <mergeCell ref="K844:K853"/>
    <mergeCell ref="L844:L853"/>
    <mergeCell ref="K343:K351"/>
    <mergeCell ref="L334:L342"/>
    <mergeCell ref="K334:K342"/>
    <mergeCell ref="K325:K333"/>
    <mergeCell ref="L325:L333"/>
    <mergeCell ref="K316:K324"/>
    <mergeCell ref="L316:L324"/>
    <mergeCell ref="K426:K434"/>
    <mergeCell ref="L426:L434"/>
    <mergeCell ref="K417:K425"/>
    <mergeCell ref="L417:L425"/>
    <mergeCell ref="K407:K415"/>
    <mergeCell ref="L407:L415"/>
    <mergeCell ref="K398:K406"/>
    <mergeCell ref="L398:L406"/>
    <mergeCell ref="K389:K397"/>
    <mergeCell ref="L389:L397"/>
    <mergeCell ref="L380:L388"/>
    <mergeCell ref="K371:K379"/>
    <mergeCell ref="L371:L379"/>
    <mergeCell ref="L362:L370"/>
    <mergeCell ref="B775:B783"/>
    <mergeCell ref="A775:A783"/>
    <mergeCell ref="K775:K783"/>
    <mergeCell ref="L775:L783"/>
    <mergeCell ref="B864:L864"/>
    <mergeCell ref="C233:C240"/>
    <mergeCell ref="C334:C341"/>
    <mergeCell ref="C343:C350"/>
    <mergeCell ref="C352:C359"/>
    <mergeCell ref="C362:C369"/>
    <mergeCell ref="C647:C654"/>
    <mergeCell ref="C417:C424"/>
    <mergeCell ref="C426:C433"/>
    <mergeCell ref="C380:C387"/>
    <mergeCell ref="C389:C396"/>
    <mergeCell ref="C398:C405"/>
    <mergeCell ref="C407:C414"/>
    <mergeCell ref="K380:K388"/>
    <mergeCell ref="B462:B470"/>
    <mergeCell ref="B471:B479"/>
    <mergeCell ref="B481:B489"/>
    <mergeCell ref="C435:C442"/>
    <mergeCell ref="C444:C451"/>
    <mergeCell ref="C453:C460"/>
  </mergeCells>
  <pageMargins left="1.1811023622047245" right="0.59055118110236227" top="0.78740157480314965" bottom="0.59055118110236227" header="0.31496062992125984" footer="0.31496062992125984"/>
  <pageSetup paperSize="9" scale="47" fitToHeight="0" orientation="landscape" r:id="rId1"/>
  <rowBreaks count="16" manualBreakCount="16">
    <brk id="51" max="11" man="1"/>
    <brk id="113" max="11" man="1"/>
    <brk id="177" max="11" man="1"/>
    <brk id="241" max="11" man="1"/>
    <brk id="305" max="11" man="1"/>
    <brk id="360" max="11" man="1"/>
    <brk id="415" max="11" man="1"/>
    <brk id="479" max="11" man="1"/>
    <brk id="534" max="11" man="1"/>
    <brk id="580" max="11" man="1"/>
    <brk id="636" max="11" man="1"/>
    <brk id="691" max="11" man="1"/>
    <brk id="737" max="11" man="1"/>
    <brk id="792" max="11" man="1"/>
    <brk id="842" max="11" man="1"/>
    <brk id="873" max="1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topLeftCell="A13" workbookViewId="0">
      <selection activeCell="C46" sqref="C46"/>
    </sheetView>
  </sheetViews>
  <sheetFormatPr defaultRowHeight="18.75" x14ac:dyDescent="0.3"/>
  <cols>
    <col min="1" max="1" width="6.28515625" style="54" bestFit="1" customWidth="1"/>
    <col min="2" max="2" width="92.7109375" style="53" bestFit="1" customWidth="1"/>
    <col min="3" max="3" width="18.7109375" style="53" bestFit="1" customWidth="1"/>
    <col min="4" max="7" width="8.42578125" style="53" bestFit="1" customWidth="1"/>
    <col min="8" max="8" width="9.28515625" style="53" bestFit="1" customWidth="1"/>
    <col min="9" max="9" width="8.42578125" style="53" bestFit="1" customWidth="1"/>
    <col min="10" max="10" width="7.7109375" style="53" customWidth="1"/>
    <col min="11" max="11" width="8.42578125" style="53" bestFit="1" customWidth="1"/>
    <col min="12" max="16384" width="9.140625" style="53"/>
  </cols>
  <sheetData>
    <row r="1" spans="1:11" ht="45" customHeight="1" x14ac:dyDescent="0.3">
      <c r="F1" s="417" t="s">
        <v>309</v>
      </c>
      <c r="G1" s="417"/>
      <c r="H1" s="417"/>
      <c r="I1" s="417"/>
      <c r="J1" s="417"/>
      <c r="K1" s="417"/>
    </row>
    <row r="2" spans="1:11" ht="18.75" customHeight="1" x14ac:dyDescent="0.3">
      <c r="B2" s="63"/>
      <c r="C2" s="63"/>
      <c r="D2" s="63"/>
      <c r="E2" s="65"/>
      <c r="F2" s="65"/>
      <c r="G2" s="65"/>
      <c r="H2" s="65"/>
      <c r="I2" s="65"/>
      <c r="J2" s="65"/>
      <c r="K2" s="65"/>
    </row>
    <row r="3" spans="1:11" ht="18.75" customHeight="1" x14ac:dyDescent="0.3">
      <c r="B3" s="418" t="s">
        <v>310</v>
      </c>
      <c r="C3" s="418"/>
      <c r="D3" s="418"/>
      <c r="E3" s="418"/>
      <c r="F3" s="418"/>
      <c r="G3" s="418"/>
      <c r="H3" s="418"/>
      <c r="I3" s="418"/>
      <c r="J3" s="418"/>
      <c r="K3" s="418"/>
    </row>
    <row r="4" spans="1:11" ht="18.75" customHeight="1" x14ac:dyDescent="0.3">
      <c r="B4" s="418"/>
      <c r="C4" s="418"/>
      <c r="D4" s="418"/>
      <c r="E4" s="418"/>
      <c r="F4" s="418"/>
      <c r="G4" s="418"/>
      <c r="H4" s="418"/>
      <c r="I4" s="418"/>
      <c r="J4" s="418"/>
      <c r="K4" s="418"/>
    </row>
    <row r="5" spans="1:11" ht="21.75" customHeight="1" x14ac:dyDescent="0.3">
      <c r="B5" s="64"/>
      <c r="C5" s="64"/>
      <c r="D5" s="64"/>
      <c r="E5" s="66"/>
      <c r="F5" s="66"/>
      <c r="G5" s="66"/>
      <c r="H5" s="66"/>
      <c r="I5" s="66"/>
      <c r="J5" s="66"/>
      <c r="K5" s="66"/>
    </row>
    <row r="6" spans="1:11" s="52" customFormat="1" x14ac:dyDescent="0.3">
      <c r="A6" s="419" t="s">
        <v>238</v>
      </c>
      <c r="B6" s="422" t="s">
        <v>239</v>
      </c>
      <c r="C6" s="415" t="s">
        <v>240</v>
      </c>
      <c r="D6" s="415" t="s">
        <v>241</v>
      </c>
      <c r="E6" s="415"/>
      <c r="F6" s="415"/>
      <c r="G6" s="415"/>
      <c r="H6" s="415"/>
      <c r="I6" s="415"/>
      <c r="J6" s="415"/>
      <c r="K6" s="56"/>
    </row>
    <row r="7" spans="1:11" x14ac:dyDescent="0.3">
      <c r="A7" s="420"/>
      <c r="B7" s="423"/>
      <c r="C7" s="415"/>
      <c r="D7" s="57">
        <v>2018</v>
      </c>
      <c r="E7" s="57">
        <v>2019</v>
      </c>
      <c r="F7" s="57">
        <v>2020</v>
      </c>
      <c r="G7" s="57">
        <v>2021</v>
      </c>
      <c r="H7" s="57">
        <v>2022</v>
      </c>
      <c r="I7" s="57">
        <v>2023</v>
      </c>
      <c r="J7" s="57">
        <v>2024</v>
      </c>
      <c r="K7" s="59">
        <v>2025</v>
      </c>
    </row>
    <row r="8" spans="1:11" x14ac:dyDescent="0.3">
      <c r="A8" s="421"/>
      <c r="B8" s="424"/>
      <c r="C8" s="415"/>
      <c r="D8" s="57" t="s">
        <v>242</v>
      </c>
      <c r="E8" s="57" t="s">
        <v>242</v>
      </c>
      <c r="F8" s="57" t="s">
        <v>242</v>
      </c>
      <c r="G8" s="57" t="s">
        <v>242</v>
      </c>
      <c r="H8" s="57" t="s">
        <v>242</v>
      </c>
      <c r="I8" s="57" t="s">
        <v>242</v>
      </c>
      <c r="J8" s="57" t="s">
        <v>242</v>
      </c>
      <c r="K8" s="59" t="s">
        <v>242</v>
      </c>
    </row>
    <row r="9" spans="1:11" x14ac:dyDescent="0.3">
      <c r="A9" s="57">
        <v>1</v>
      </c>
      <c r="B9" s="57">
        <v>2</v>
      </c>
      <c r="C9" s="57">
        <v>3</v>
      </c>
      <c r="D9" s="57">
        <v>4</v>
      </c>
      <c r="E9" s="57">
        <v>5</v>
      </c>
      <c r="F9" s="57">
        <v>6</v>
      </c>
      <c r="G9" s="57">
        <v>7</v>
      </c>
      <c r="H9" s="57">
        <v>8</v>
      </c>
      <c r="I9" s="57">
        <v>9</v>
      </c>
      <c r="J9" s="57">
        <v>10</v>
      </c>
      <c r="K9" s="57">
        <v>11</v>
      </c>
    </row>
    <row r="10" spans="1:11" ht="37.5" x14ac:dyDescent="0.3">
      <c r="A10" s="57" t="s">
        <v>3</v>
      </c>
      <c r="B10" s="60" t="s">
        <v>243</v>
      </c>
      <c r="C10" s="57" t="s">
        <v>244</v>
      </c>
      <c r="D10" s="57">
        <v>76</v>
      </c>
      <c r="E10" s="57">
        <v>70.900000000000006</v>
      </c>
      <c r="F10" s="57">
        <v>72</v>
      </c>
      <c r="G10" s="57">
        <v>75</v>
      </c>
      <c r="H10" s="57">
        <v>77</v>
      </c>
      <c r="I10" s="57">
        <v>77</v>
      </c>
      <c r="J10" s="57">
        <v>77</v>
      </c>
      <c r="K10" s="57">
        <v>77</v>
      </c>
    </row>
    <row r="11" spans="1:11" x14ac:dyDescent="0.3">
      <c r="A11" s="57" t="s">
        <v>19</v>
      </c>
      <c r="B11" s="60" t="s">
        <v>245</v>
      </c>
      <c r="C11" s="57" t="s">
        <v>246</v>
      </c>
      <c r="D11" s="57">
        <v>0.05</v>
      </c>
      <c r="E11" s="57">
        <v>0.04</v>
      </c>
      <c r="F11" s="57">
        <v>0</v>
      </c>
      <c r="G11" s="57">
        <v>0</v>
      </c>
      <c r="H11" s="57">
        <v>0</v>
      </c>
      <c r="I11" s="57">
        <v>0.5</v>
      </c>
      <c r="J11" s="57">
        <v>0</v>
      </c>
      <c r="K11" s="57">
        <v>0</v>
      </c>
    </row>
    <row r="12" spans="1:11" ht="75" x14ac:dyDescent="0.3">
      <c r="A12" s="57" t="s">
        <v>39</v>
      </c>
      <c r="B12" s="60" t="s">
        <v>247</v>
      </c>
      <c r="C12" s="57" t="s">
        <v>244</v>
      </c>
      <c r="D12" s="57">
        <v>100</v>
      </c>
      <c r="E12" s="57">
        <v>100</v>
      </c>
      <c r="F12" s="57">
        <v>100</v>
      </c>
      <c r="G12" s="57">
        <v>100</v>
      </c>
      <c r="H12" s="57">
        <v>100</v>
      </c>
      <c r="I12" s="57">
        <v>100</v>
      </c>
      <c r="J12" s="57">
        <v>100</v>
      </c>
      <c r="K12" s="57">
        <v>100</v>
      </c>
    </row>
    <row r="13" spans="1:11" ht="63.75" customHeight="1" x14ac:dyDescent="0.3">
      <c r="A13" s="57" t="s">
        <v>48</v>
      </c>
      <c r="B13" s="60" t="s">
        <v>248</v>
      </c>
      <c r="C13" s="57" t="s">
        <v>244</v>
      </c>
      <c r="D13" s="57">
        <v>100</v>
      </c>
      <c r="E13" s="57">
        <v>100</v>
      </c>
      <c r="F13" s="57">
        <v>100</v>
      </c>
      <c r="G13" s="57">
        <v>100</v>
      </c>
      <c r="H13" s="57">
        <v>100</v>
      </c>
      <c r="I13" s="57">
        <v>100</v>
      </c>
      <c r="J13" s="57">
        <v>100</v>
      </c>
      <c r="K13" s="57">
        <v>100</v>
      </c>
    </row>
    <row r="14" spans="1:11" x14ac:dyDescent="0.3">
      <c r="A14" s="415" t="s">
        <v>249</v>
      </c>
      <c r="B14" s="416" t="s">
        <v>250</v>
      </c>
      <c r="C14" s="415" t="s">
        <v>251</v>
      </c>
      <c r="D14" s="415">
        <v>13.494</v>
      </c>
      <c r="E14" s="415">
        <v>13.927</v>
      </c>
      <c r="F14" s="415">
        <v>14.237</v>
      </c>
      <c r="G14" s="415">
        <v>14.621</v>
      </c>
      <c r="H14" s="415">
        <v>15.079000000000001</v>
      </c>
      <c r="I14" s="415">
        <v>15.291</v>
      </c>
      <c r="J14" s="415">
        <v>15.291</v>
      </c>
      <c r="K14" s="415">
        <v>15.291</v>
      </c>
    </row>
    <row r="15" spans="1:11" x14ac:dyDescent="0.3">
      <c r="A15" s="415"/>
      <c r="B15" s="416"/>
      <c r="C15" s="415"/>
      <c r="D15" s="415"/>
      <c r="E15" s="415"/>
      <c r="F15" s="415"/>
      <c r="G15" s="415"/>
      <c r="H15" s="415"/>
      <c r="I15" s="415"/>
      <c r="J15" s="415"/>
      <c r="K15" s="415"/>
    </row>
    <row r="16" spans="1:11" x14ac:dyDescent="0.3">
      <c r="A16" s="415" t="s">
        <v>252</v>
      </c>
      <c r="B16" s="416" t="s">
        <v>253</v>
      </c>
      <c r="C16" s="415" t="s">
        <v>254</v>
      </c>
      <c r="D16" s="415">
        <v>16</v>
      </c>
      <c r="E16" s="415">
        <v>16</v>
      </c>
      <c r="F16" s="415">
        <v>19</v>
      </c>
      <c r="G16" s="415">
        <v>19</v>
      </c>
      <c r="H16" s="415">
        <v>19</v>
      </c>
      <c r="I16" s="415">
        <v>19</v>
      </c>
      <c r="J16" s="415">
        <v>19</v>
      </c>
      <c r="K16" s="415">
        <v>19</v>
      </c>
    </row>
    <row r="17" spans="1:11" x14ac:dyDescent="0.3">
      <c r="A17" s="415"/>
      <c r="B17" s="416"/>
      <c r="C17" s="415"/>
      <c r="D17" s="415"/>
      <c r="E17" s="415"/>
      <c r="F17" s="415"/>
      <c r="G17" s="415"/>
      <c r="H17" s="415"/>
      <c r="I17" s="415"/>
      <c r="J17" s="415"/>
      <c r="K17" s="415"/>
    </row>
    <row r="18" spans="1:11" ht="56.25" x14ac:dyDescent="0.3">
      <c r="A18" s="57" t="s">
        <v>255</v>
      </c>
      <c r="B18" s="60" t="s">
        <v>256</v>
      </c>
      <c r="C18" s="57" t="s">
        <v>244</v>
      </c>
      <c r="D18" s="57">
        <v>89.6</v>
      </c>
      <c r="E18" s="57">
        <v>90</v>
      </c>
      <c r="F18" s="57">
        <v>100</v>
      </c>
      <c r="G18" s="57">
        <v>100</v>
      </c>
      <c r="H18" s="57">
        <v>100</v>
      </c>
      <c r="I18" s="57">
        <v>100</v>
      </c>
      <c r="J18" s="57">
        <v>100</v>
      </c>
      <c r="K18" s="57">
        <v>100</v>
      </c>
    </row>
    <row r="19" spans="1:11" ht="56.25" x14ac:dyDescent="0.3">
      <c r="A19" s="57" t="s">
        <v>257</v>
      </c>
      <c r="B19" s="60" t="s">
        <v>258</v>
      </c>
      <c r="C19" s="57" t="s">
        <v>244</v>
      </c>
      <c r="D19" s="57">
        <v>1.5</v>
      </c>
      <c r="E19" s="57">
        <v>0.5</v>
      </c>
      <c r="F19" s="57">
        <v>0</v>
      </c>
      <c r="G19" s="57">
        <v>0</v>
      </c>
      <c r="H19" s="57">
        <v>0</v>
      </c>
      <c r="I19" s="57">
        <v>0</v>
      </c>
      <c r="J19" s="57">
        <v>0</v>
      </c>
      <c r="K19" s="57">
        <v>0</v>
      </c>
    </row>
    <row r="20" spans="1:11" ht="56.25" x14ac:dyDescent="0.3">
      <c r="A20" s="57" t="s">
        <v>259</v>
      </c>
      <c r="B20" s="60" t="s">
        <v>260</v>
      </c>
      <c r="C20" s="57" t="s">
        <v>244</v>
      </c>
      <c r="D20" s="57">
        <v>100</v>
      </c>
      <c r="E20" s="57">
        <v>100</v>
      </c>
      <c r="F20" s="57">
        <v>100</v>
      </c>
      <c r="G20" s="57">
        <v>100</v>
      </c>
      <c r="H20" s="57">
        <v>100</v>
      </c>
      <c r="I20" s="57">
        <v>100</v>
      </c>
      <c r="J20" s="57">
        <v>100</v>
      </c>
      <c r="K20" s="57">
        <v>100</v>
      </c>
    </row>
    <row r="21" spans="1:11" ht="37.5" x14ac:dyDescent="0.3">
      <c r="A21" s="57" t="s">
        <v>261</v>
      </c>
      <c r="B21" s="60" t="s">
        <v>262</v>
      </c>
      <c r="C21" s="57" t="s">
        <v>263</v>
      </c>
      <c r="D21" s="57">
        <v>20</v>
      </c>
      <c r="E21" s="57">
        <v>20</v>
      </c>
      <c r="F21" s="57">
        <v>20</v>
      </c>
      <c r="G21" s="57">
        <v>20</v>
      </c>
      <c r="H21" s="57">
        <v>20</v>
      </c>
      <c r="I21" s="57">
        <v>20</v>
      </c>
      <c r="J21" s="57">
        <v>20</v>
      </c>
      <c r="K21" s="57">
        <v>20</v>
      </c>
    </row>
    <row r="22" spans="1:11" ht="37.5" x14ac:dyDescent="0.3">
      <c r="A22" s="57" t="s">
        <v>264</v>
      </c>
      <c r="B22" s="60" t="s">
        <v>265</v>
      </c>
      <c r="C22" s="57" t="s">
        <v>244</v>
      </c>
      <c r="D22" s="57">
        <v>35</v>
      </c>
      <c r="E22" s="57">
        <v>57</v>
      </c>
      <c r="F22" s="57">
        <v>60</v>
      </c>
      <c r="G22" s="57">
        <v>60</v>
      </c>
      <c r="H22" s="57">
        <v>80</v>
      </c>
      <c r="I22" s="57">
        <v>100</v>
      </c>
      <c r="J22" s="57">
        <v>100</v>
      </c>
      <c r="K22" s="57">
        <v>100</v>
      </c>
    </row>
    <row r="23" spans="1:11" ht="56.25" x14ac:dyDescent="0.3">
      <c r="A23" s="57" t="s">
        <v>266</v>
      </c>
      <c r="B23" s="60" t="s">
        <v>267</v>
      </c>
      <c r="C23" s="57" t="s">
        <v>244</v>
      </c>
      <c r="D23" s="57">
        <v>99</v>
      </c>
      <c r="E23" s="57">
        <v>99</v>
      </c>
      <c r="F23" s="57">
        <v>99</v>
      </c>
      <c r="G23" s="57">
        <v>99</v>
      </c>
      <c r="H23" s="57">
        <v>99</v>
      </c>
      <c r="I23" s="57">
        <v>99</v>
      </c>
      <c r="J23" s="57">
        <v>99</v>
      </c>
      <c r="K23" s="57">
        <v>99</v>
      </c>
    </row>
    <row r="24" spans="1:11" ht="37.5" x14ac:dyDescent="0.3">
      <c r="A24" s="57" t="s">
        <v>268</v>
      </c>
      <c r="B24" s="60" t="s">
        <v>269</v>
      </c>
      <c r="C24" s="57" t="s">
        <v>244</v>
      </c>
      <c r="D24" s="57">
        <v>50</v>
      </c>
      <c r="E24" s="57">
        <v>55</v>
      </c>
      <c r="F24" s="57">
        <v>60</v>
      </c>
      <c r="G24" s="57">
        <v>70</v>
      </c>
      <c r="H24" s="57">
        <v>70</v>
      </c>
      <c r="I24" s="57">
        <v>70</v>
      </c>
      <c r="J24" s="57">
        <v>70</v>
      </c>
      <c r="K24" s="57">
        <v>70</v>
      </c>
    </row>
    <row r="25" spans="1:11" ht="75" x14ac:dyDescent="0.3">
      <c r="A25" s="57">
        <v>14</v>
      </c>
      <c r="B25" s="58" t="s">
        <v>270</v>
      </c>
      <c r="C25" s="57" t="s">
        <v>244</v>
      </c>
      <c r="D25" s="57">
        <v>0</v>
      </c>
      <c r="E25" s="57">
        <v>0</v>
      </c>
      <c r="F25" s="57">
        <v>22</v>
      </c>
      <c r="G25" s="57">
        <v>22</v>
      </c>
      <c r="H25" s="57">
        <v>22</v>
      </c>
      <c r="I25" s="57">
        <v>22</v>
      </c>
      <c r="J25" s="57">
        <v>22</v>
      </c>
      <c r="K25" s="57">
        <v>22</v>
      </c>
    </row>
    <row r="26" spans="1:11" x14ac:dyDescent="0.3">
      <c r="A26" s="57" t="s">
        <v>271</v>
      </c>
      <c r="B26" s="58" t="s">
        <v>272</v>
      </c>
      <c r="C26" s="57" t="s">
        <v>273</v>
      </c>
      <c r="D26" s="57">
        <v>10</v>
      </c>
      <c r="E26" s="57">
        <v>12</v>
      </c>
      <c r="F26" s="57">
        <v>11</v>
      </c>
      <c r="G26" s="57">
        <v>12</v>
      </c>
      <c r="H26" s="57">
        <v>12</v>
      </c>
      <c r="I26" s="57">
        <v>12</v>
      </c>
      <c r="J26" s="57">
        <v>12</v>
      </c>
      <c r="K26" s="57">
        <v>12</v>
      </c>
    </row>
    <row r="27" spans="1:11" x14ac:dyDescent="0.3">
      <c r="A27" s="57" t="s">
        <v>274</v>
      </c>
      <c r="B27" s="60" t="s">
        <v>275</v>
      </c>
      <c r="C27" s="57" t="s">
        <v>244</v>
      </c>
      <c r="D27" s="57">
        <v>100</v>
      </c>
      <c r="E27" s="57">
        <v>100</v>
      </c>
      <c r="F27" s="57">
        <v>100</v>
      </c>
      <c r="G27" s="57">
        <v>100</v>
      </c>
      <c r="H27" s="57">
        <v>100</v>
      </c>
      <c r="I27" s="57">
        <v>100</v>
      </c>
      <c r="J27" s="57">
        <v>100</v>
      </c>
      <c r="K27" s="57">
        <v>100</v>
      </c>
    </row>
    <row r="28" spans="1:11" ht="37.5" x14ac:dyDescent="0.3">
      <c r="A28" s="57" t="s">
        <v>276</v>
      </c>
      <c r="B28" s="60" t="s">
        <v>277</v>
      </c>
      <c r="C28" s="57" t="s">
        <v>244</v>
      </c>
      <c r="D28" s="57">
        <v>20</v>
      </c>
      <c r="E28" s="57">
        <v>0</v>
      </c>
      <c r="F28" s="57">
        <v>0</v>
      </c>
      <c r="G28" s="57">
        <v>0</v>
      </c>
      <c r="H28" s="57">
        <v>0</v>
      </c>
      <c r="I28" s="57">
        <v>0</v>
      </c>
      <c r="J28" s="57">
        <v>0</v>
      </c>
      <c r="K28" s="57">
        <v>0</v>
      </c>
    </row>
    <row r="29" spans="1:11" x14ac:dyDescent="0.3">
      <c r="A29" s="57" t="s">
        <v>278</v>
      </c>
      <c r="B29" s="60" t="s">
        <v>279</v>
      </c>
      <c r="C29" s="57" t="s">
        <v>280</v>
      </c>
      <c r="D29" s="57">
        <v>30</v>
      </c>
      <c r="E29" s="57">
        <v>30</v>
      </c>
      <c r="F29" s="57">
        <v>30</v>
      </c>
      <c r="G29" s="57">
        <v>30</v>
      </c>
      <c r="H29" s="57">
        <v>30</v>
      </c>
      <c r="I29" s="57">
        <v>30</v>
      </c>
      <c r="J29" s="57">
        <v>30</v>
      </c>
      <c r="K29" s="57">
        <v>30</v>
      </c>
    </row>
    <row r="30" spans="1:11" x14ac:dyDescent="0.3">
      <c r="A30" s="57" t="s">
        <v>281</v>
      </c>
      <c r="B30" s="60" t="s">
        <v>282</v>
      </c>
      <c r="C30" s="57" t="s">
        <v>283</v>
      </c>
      <c r="D30" s="57">
        <v>2</v>
      </c>
      <c r="E30" s="57">
        <v>8</v>
      </c>
      <c r="F30" s="57">
        <v>9</v>
      </c>
      <c r="G30" s="57">
        <v>6</v>
      </c>
      <c r="H30" s="57">
        <v>8</v>
      </c>
      <c r="I30" s="57">
        <v>0</v>
      </c>
      <c r="J30" s="57">
        <v>0</v>
      </c>
      <c r="K30" s="57">
        <v>0</v>
      </c>
    </row>
    <row r="31" spans="1:11" ht="37.5" x14ac:dyDescent="0.3">
      <c r="A31" s="57" t="s">
        <v>284</v>
      </c>
      <c r="B31" s="60" t="s">
        <v>285</v>
      </c>
      <c r="C31" s="57" t="s">
        <v>286</v>
      </c>
      <c r="D31" s="57">
        <v>6</v>
      </c>
      <c r="E31" s="57">
        <v>8</v>
      </c>
      <c r="F31" s="57">
        <v>8</v>
      </c>
      <c r="G31" s="61">
        <v>9</v>
      </c>
      <c r="H31" s="57">
        <v>5</v>
      </c>
      <c r="I31" s="57">
        <v>1</v>
      </c>
      <c r="J31" s="57">
        <v>0</v>
      </c>
      <c r="K31" s="57">
        <v>0</v>
      </c>
    </row>
    <row r="32" spans="1:11" x14ac:dyDescent="0.3">
      <c r="A32" s="415" t="s">
        <v>287</v>
      </c>
      <c r="B32" s="416" t="s">
        <v>288</v>
      </c>
      <c r="C32" s="415" t="s">
        <v>283</v>
      </c>
      <c r="D32" s="415">
        <v>3</v>
      </c>
      <c r="E32" s="415">
        <v>3</v>
      </c>
      <c r="F32" s="415">
        <v>3</v>
      </c>
      <c r="G32" s="415">
        <v>3</v>
      </c>
      <c r="H32" s="415">
        <v>0</v>
      </c>
      <c r="I32" s="415">
        <v>0</v>
      </c>
      <c r="J32" s="415">
        <v>0</v>
      </c>
      <c r="K32" s="415">
        <v>0</v>
      </c>
    </row>
    <row r="33" spans="1:11" x14ac:dyDescent="0.3">
      <c r="A33" s="415"/>
      <c r="B33" s="416"/>
      <c r="C33" s="415"/>
      <c r="D33" s="415"/>
      <c r="E33" s="415"/>
      <c r="F33" s="415"/>
      <c r="G33" s="415"/>
      <c r="H33" s="415"/>
      <c r="I33" s="415"/>
      <c r="J33" s="415"/>
      <c r="K33" s="415"/>
    </row>
    <row r="34" spans="1:11" ht="56.25" x14ac:dyDescent="0.3">
      <c r="A34" s="57" t="s">
        <v>289</v>
      </c>
      <c r="B34" s="60" t="s">
        <v>290</v>
      </c>
      <c r="C34" s="57" t="s">
        <v>291</v>
      </c>
      <c r="D34" s="57">
        <v>100</v>
      </c>
      <c r="E34" s="57">
        <v>100</v>
      </c>
      <c r="F34" s="57">
        <v>100</v>
      </c>
      <c r="G34" s="57">
        <v>100</v>
      </c>
      <c r="H34" s="57">
        <v>100</v>
      </c>
      <c r="I34" s="57">
        <v>100</v>
      </c>
      <c r="J34" s="57">
        <v>100</v>
      </c>
      <c r="K34" s="57">
        <v>100</v>
      </c>
    </row>
    <row r="35" spans="1:11" ht="37.5" x14ac:dyDescent="0.3">
      <c r="A35" s="57" t="s">
        <v>292</v>
      </c>
      <c r="B35" s="60" t="s">
        <v>293</v>
      </c>
      <c r="C35" s="57" t="s">
        <v>283</v>
      </c>
      <c r="D35" s="57">
        <v>0</v>
      </c>
      <c r="E35" s="57">
        <v>0</v>
      </c>
      <c r="F35" s="57">
        <v>0</v>
      </c>
      <c r="G35" s="57">
        <v>0</v>
      </c>
      <c r="H35" s="57">
        <v>2</v>
      </c>
      <c r="I35" s="57">
        <v>0</v>
      </c>
      <c r="J35" s="57">
        <v>0</v>
      </c>
      <c r="K35" s="57">
        <v>0</v>
      </c>
    </row>
    <row r="36" spans="1:11" ht="37.5" x14ac:dyDescent="0.3">
      <c r="A36" s="57" t="s">
        <v>294</v>
      </c>
      <c r="B36" s="60" t="s">
        <v>295</v>
      </c>
      <c r="C36" s="57" t="s">
        <v>286</v>
      </c>
      <c r="D36" s="57">
        <v>2</v>
      </c>
      <c r="E36" s="57">
        <v>0</v>
      </c>
      <c r="F36" s="57">
        <v>29</v>
      </c>
      <c r="G36" s="57">
        <v>0</v>
      </c>
      <c r="H36" s="57">
        <v>12</v>
      </c>
      <c r="I36" s="57">
        <v>13</v>
      </c>
      <c r="J36" s="57">
        <v>0</v>
      </c>
      <c r="K36" s="57">
        <v>0</v>
      </c>
    </row>
    <row r="37" spans="1:11" x14ac:dyDescent="0.3">
      <c r="A37" s="57" t="s">
        <v>296</v>
      </c>
      <c r="B37" s="60" t="s">
        <v>297</v>
      </c>
      <c r="C37" s="57" t="s">
        <v>291</v>
      </c>
      <c r="D37" s="57">
        <v>100</v>
      </c>
      <c r="E37" s="57">
        <v>100</v>
      </c>
      <c r="F37" s="57">
        <v>100</v>
      </c>
      <c r="G37" s="57">
        <v>100</v>
      </c>
      <c r="H37" s="57">
        <v>100</v>
      </c>
      <c r="I37" s="57">
        <v>100</v>
      </c>
      <c r="J37" s="57">
        <v>100</v>
      </c>
      <c r="K37" s="57">
        <v>100</v>
      </c>
    </row>
    <row r="38" spans="1:11" ht="75" x14ac:dyDescent="0.3">
      <c r="A38" s="57" t="s">
        <v>298</v>
      </c>
      <c r="B38" s="60" t="s">
        <v>299</v>
      </c>
      <c r="C38" s="57" t="s">
        <v>286</v>
      </c>
      <c r="D38" s="57">
        <v>1</v>
      </c>
      <c r="E38" s="57">
        <v>1</v>
      </c>
      <c r="F38" s="57">
        <v>0</v>
      </c>
      <c r="G38" s="57">
        <v>0</v>
      </c>
      <c r="H38" s="57">
        <v>0</v>
      </c>
      <c r="I38" s="57">
        <v>0</v>
      </c>
      <c r="J38" s="57">
        <v>0</v>
      </c>
      <c r="K38" s="57">
        <v>0</v>
      </c>
    </row>
    <row r="39" spans="1:11" x14ac:dyDescent="0.3">
      <c r="A39" s="57" t="s">
        <v>300</v>
      </c>
      <c r="B39" s="60" t="s">
        <v>301</v>
      </c>
      <c r="C39" s="57" t="s">
        <v>283</v>
      </c>
      <c r="D39" s="57">
        <v>0</v>
      </c>
      <c r="E39" s="57">
        <v>22</v>
      </c>
      <c r="F39" s="57">
        <v>22</v>
      </c>
      <c r="G39" s="57">
        <v>22</v>
      </c>
      <c r="H39" s="57">
        <v>22</v>
      </c>
      <c r="I39" s="57">
        <v>22</v>
      </c>
      <c r="J39" s="57">
        <v>22</v>
      </c>
      <c r="K39" s="57">
        <v>22</v>
      </c>
    </row>
    <row r="40" spans="1:11" ht="56.25" x14ac:dyDescent="0.3">
      <c r="A40" s="57" t="s">
        <v>302</v>
      </c>
      <c r="B40" s="60" t="s">
        <v>303</v>
      </c>
      <c r="C40" s="57" t="s">
        <v>283</v>
      </c>
      <c r="D40" s="57">
        <v>0</v>
      </c>
      <c r="E40" s="57">
        <v>6</v>
      </c>
      <c r="F40" s="57">
        <v>3</v>
      </c>
      <c r="G40" s="61">
        <v>16</v>
      </c>
      <c r="H40" s="57">
        <v>4</v>
      </c>
      <c r="I40" s="57">
        <v>3</v>
      </c>
      <c r="J40" s="57">
        <v>0</v>
      </c>
      <c r="K40" s="57">
        <v>0</v>
      </c>
    </row>
    <row r="41" spans="1:11" ht="56.25" x14ac:dyDescent="0.3">
      <c r="A41" s="57" t="s">
        <v>304</v>
      </c>
      <c r="B41" s="60" t="s">
        <v>305</v>
      </c>
      <c r="C41" s="57" t="s">
        <v>283</v>
      </c>
      <c r="D41" s="57">
        <v>0</v>
      </c>
      <c r="E41" s="57">
        <v>15</v>
      </c>
      <c r="F41" s="57">
        <v>13</v>
      </c>
      <c r="G41" s="57">
        <v>11</v>
      </c>
      <c r="H41" s="57">
        <v>10</v>
      </c>
      <c r="I41" s="57">
        <v>15</v>
      </c>
      <c r="J41" s="57">
        <v>0</v>
      </c>
      <c r="K41" s="57">
        <v>0</v>
      </c>
    </row>
    <row r="42" spans="1:11" ht="37.5" x14ac:dyDescent="0.3">
      <c r="A42" s="75" t="s">
        <v>306</v>
      </c>
      <c r="B42" s="62" t="s">
        <v>307</v>
      </c>
      <c r="C42" s="75" t="s">
        <v>286</v>
      </c>
      <c r="D42" s="75">
        <v>0</v>
      </c>
      <c r="E42" s="75">
        <v>3</v>
      </c>
      <c r="F42" s="75">
        <v>2</v>
      </c>
      <c r="G42" s="75">
        <v>0</v>
      </c>
      <c r="H42" s="75">
        <v>0</v>
      </c>
      <c r="I42" s="75">
        <v>0</v>
      </c>
      <c r="J42" s="75">
        <v>0</v>
      </c>
      <c r="K42" s="75">
        <v>0</v>
      </c>
    </row>
    <row r="43" spans="1:11" ht="37.5" x14ac:dyDescent="0.3">
      <c r="A43" s="75" t="s">
        <v>317</v>
      </c>
      <c r="B43" s="62" t="s">
        <v>318</v>
      </c>
      <c r="C43" s="75" t="s">
        <v>286</v>
      </c>
      <c r="D43" s="75">
        <v>0</v>
      </c>
      <c r="E43" s="75">
        <v>0</v>
      </c>
      <c r="F43" s="75">
        <v>0</v>
      </c>
      <c r="G43" s="75">
        <v>0</v>
      </c>
      <c r="H43" s="75">
        <v>0</v>
      </c>
      <c r="I43" s="75">
        <v>7</v>
      </c>
      <c r="J43" s="75">
        <v>0</v>
      </c>
      <c r="K43" s="75">
        <v>0</v>
      </c>
    </row>
    <row r="44" spans="1:11" x14ac:dyDescent="0.3">
      <c r="A44" s="53"/>
    </row>
    <row r="45" spans="1:11" x14ac:dyDescent="0.3">
      <c r="A45" s="53"/>
    </row>
    <row r="46" spans="1:11" x14ac:dyDescent="0.3">
      <c r="A46" s="53"/>
    </row>
    <row r="47" spans="1:11" x14ac:dyDescent="0.3">
      <c r="A47" s="53"/>
    </row>
    <row r="48" spans="1:11" s="55" customFormat="1" x14ac:dyDescent="0.3">
      <c r="B48" s="55" t="s">
        <v>308</v>
      </c>
      <c r="H48" s="55" t="s">
        <v>197</v>
      </c>
    </row>
  </sheetData>
  <mergeCells count="39">
    <mergeCell ref="F1:K1"/>
    <mergeCell ref="B3:K4"/>
    <mergeCell ref="A6:A8"/>
    <mergeCell ref="B6:B8"/>
    <mergeCell ref="C6:C8"/>
    <mergeCell ref="D6:J6"/>
    <mergeCell ref="A14:A15"/>
    <mergeCell ref="B14:B15"/>
    <mergeCell ref="C14:C15"/>
    <mergeCell ref="D14:D15"/>
    <mergeCell ref="E14:E15"/>
    <mergeCell ref="F14:F15"/>
    <mergeCell ref="G14:G15"/>
    <mergeCell ref="H14:H15"/>
    <mergeCell ref="I14:I15"/>
    <mergeCell ref="K14:K15"/>
    <mergeCell ref="J14:J15"/>
    <mergeCell ref="K16:K17"/>
    <mergeCell ref="A16:A17"/>
    <mergeCell ref="B16:B17"/>
    <mergeCell ref="C16:C17"/>
    <mergeCell ref="D16:D17"/>
    <mergeCell ref="E16:E17"/>
    <mergeCell ref="F16:F17"/>
    <mergeCell ref="J16:J17"/>
    <mergeCell ref="G16:G17"/>
    <mergeCell ref="H16:H17"/>
    <mergeCell ref="I16:I17"/>
    <mergeCell ref="J32:J33"/>
    <mergeCell ref="K32:K33"/>
    <mergeCell ref="A32:A33"/>
    <mergeCell ref="B32:B33"/>
    <mergeCell ref="C32:C33"/>
    <mergeCell ref="D32:D33"/>
    <mergeCell ref="E32:E33"/>
    <mergeCell ref="F32:F33"/>
    <mergeCell ref="G32:G33"/>
    <mergeCell ref="H32:H33"/>
    <mergeCell ref="I32:I33"/>
  </mergeCells>
  <pageMargins left="1.1811023622047245" right="0.39370078740157483" top="0.78740157480314965" bottom="0.78740157480314965" header="0.31496062992125984" footer="0.31496062992125984"/>
  <pageSetup paperSize="9"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Лист1</vt:lpstr>
      <vt:lpstr>Лист2</vt:lpstr>
      <vt:lpstr>Лист2!Заголовки_для_печати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2024-02-27T14:41:55Z</dcterms:modified>
</cp:coreProperties>
</file>